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checkCompatibility="1" defaultThemeVersion="124226"/>
  <bookViews>
    <workbookView xWindow="-15" yWindow="-15" windowWidth="15480" windowHeight="10545" tabRatio="944" activeTab="1"/>
  </bookViews>
  <sheets>
    <sheet name="SCIC-Nam 2014" sheetId="101" r:id="rId1"/>
    <sheet name="DMC-Nam 2014" sheetId="108" r:id="rId2"/>
    <sheet name="SCIC T1.14" sheetId="81" r:id="rId3"/>
    <sheet name="SCIC T2.14 " sheetId="83" r:id="rId4"/>
    <sheet name="SCIC T3.14" sheetId="85" r:id="rId5"/>
    <sheet name="SCIC T4.14" sheetId="87" r:id="rId6"/>
    <sheet name="SCIC T5.14" sheetId="89" r:id="rId7"/>
    <sheet name="SCIC T6.14" sheetId="91" r:id="rId8"/>
    <sheet name="SCIC T7.14" sheetId="94" r:id="rId9"/>
    <sheet name="SCIC T8.14" sheetId="96" r:id="rId10"/>
    <sheet name="SCIC T9.14" sheetId="97" r:id="rId11"/>
    <sheet name="SCIC T10.14" sheetId="98" r:id="rId12"/>
    <sheet name="SCIC T11.14" sheetId="99" r:id="rId13"/>
    <sheet name="SCIC T12.14" sheetId="100" r:id="rId14"/>
    <sheet name="DMC T1.14" sheetId="32" r:id="rId15"/>
    <sheet name="DMC T2.14" sheetId="82" r:id="rId16"/>
    <sheet name="DMC T3.14" sheetId="84" r:id="rId17"/>
    <sheet name="DMC T4.14" sheetId="86" r:id="rId18"/>
    <sheet name="DMC T5.14" sheetId="88" r:id="rId19"/>
    <sheet name="DMC T6.14" sheetId="90" r:id="rId20"/>
    <sheet name="DMC T7.14" sheetId="92" r:id="rId21"/>
    <sheet name="DMC T8.14" sheetId="95" r:id="rId22"/>
    <sheet name="DMC T9.14" sheetId="103" r:id="rId23"/>
    <sheet name="DMC T10.14" sheetId="105" r:id="rId24"/>
    <sheet name="DMC T11.14" sheetId="106" r:id="rId25"/>
    <sheet name="DMC T12.14" sheetId="107" r:id="rId26"/>
    <sheet name="Sheet6 (2)" sheetId="104" r:id="rId27"/>
    <sheet name="Sheet6" sheetId="102" r:id="rId28"/>
  </sheets>
  <externalReferences>
    <externalReference r:id="rId29"/>
  </externalReferences>
  <definedNames>
    <definedName name="_xlnm.Print_Titles" localSheetId="14">'DMC T1.14'!$3:$4</definedName>
    <definedName name="_xlnm.Print_Titles" localSheetId="23">'DMC T10.14'!$3:$4</definedName>
    <definedName name="_xlnm.Print_Titles" localSheetId="24">'DMC T11.14'!$3:$4</definedName>
    <definedName name="_xlnm.Print_Titles" localSheetId="25">'DMC T12.14'!$3:$4</definedName>
    <definedName name="_xlnm.Print_Titles" localSheetId="15">'DMC T2.14'!$3:$4</definedName>
    <definedName name="_xlnm.Print_Titles" localSheetId="16">'DMC T3.14'!$3:$4</definedName>
    <definedName name="_xlnm.Print_Titles" localSheetId="17">'DMC T4.14'!$3:$4</definedName>
    <definedName name="_xlnm.Print_Titles" localSheetId="18">'DMC T5.14'!$3:$4</definedName>
    <definedName name="_xlnm.Print_Titles" localSheetId="19">'DMC T6.14'!$3:$4</definedName>
    <definedName name="_xlnm.Print_Titles" localSheetId="20">'DMC T7.14'!$3:$4</definedName>
    <definedName name="_xlnm.Print_Titles" localSheetId="21">'DMC T8.14'!$3:$4</definedName>
    <definedName name="_xlnm.Print_Titles" localSheetId="22">'DMC T9.14'!$3:$4</definedName>
  </definedNames>
  <calcPr calcId="144525"/>
</workbook>
</file>

<file path=xl/calcChain.xml><?xml version="1.0" encoding="utf-8"?>
<calcChain xmlns="http://schemas.openxmlformats.org/spreadsheetml/2006/main">
  <c r="N62" i="108"/>
  <c r="N61"/>
  <c r="N60"/>
  <c r="N59"/>
  <c r="M58"/>
  <c r="L58"/>
  <c r="K58"/>
  <c r="J58"/>
  <c r="I58"/>
  <c r="H58"/>
  <c r="G58"/>
  <c r="F58"/>
  <c r="E58"/>
  <c r="D58"/>
  <c r="C58"/>
  <c r="B58"/>
  <c r="N58" s="1"/>
  <c r="N57"/>
  <c r="N56"/>
  <c r="M55"/>
  <c r="L55"/>
  <c r="K55"/>
  <c r="J55"/>
  <c r="I55"/>
  <c r="H55"/>
  <c r="G55"/>
  <c r="F55"/>
  <c r="E55"/>
  <c r="D55"/>
  <c r="C55"/>
  <c r="B55"/>
  <c r="N54"/>
  <c r="L53"/>
  <c r="L46" s="1"/>
  <c r="L26" s="1"/>
  <c r="K53"/>
  <c r="I53"/>
  <c r="H53"/>
  <c r="G53"/>
  <c r="F53"/>
  <c r="D53"/>
  <c r="N53" s="1"/>
  <c r="N52"/>
  <c r="G51"/>
  <c r="N51" s="1"/>
  <c r="N50"/>
  <c r="N49"/>
  <c r="G49"/>
  <c r="N48"/>
  <c r="G48"/>
  <c r="N47"/>
  <c r="M47"/>
  <c r="M46"/>
  <c r="K46"/>
  <c r="J46"/>
  <c r="I46"/>
  <c r="H46"/>
  <c r="G46"/>
  <c r="F46"/>
  <c r="E46"/>
  <c r="C46"/>
  <c r="B46"/>
  <c r="M45"/>
  <c r="J45"/>
  <c r="I45"/>
  <c r="H45"/>
  <c r="G45"/>
  <c r="F45"/>
  <c r="E45"/>
  <c r="D45"/>
  <c r="C45"/>
  <c r="B45"/>
  <c r="N44"/>
  <c r="N43"/>
  <c r="N42"/>
  <c r="M41"/>
  <c r="N41" s="1"/>
  <c r="M40"/>
  <c r="N40" s="1"/>
  <c r="N39"/>
  <c r="M38"/>
  <c r="L38"/>
  <c r="K38"/>
  <c r="J38"/>
  <c r="I38"/>
  <c r="H38"/>
  <c r="G38"/>
  <c r="F38"/>
  <c r="E38"/>
  <c r="D38"/>
  <c r="C38"/>
  <c r="B38"/>
  <c r="H37"/>
  <c r="F37"/>
  <c r="C37"/>
  <c r="C30" s="1"/>
  <c r="C26" s="1"/>
  <c r="N36"/>
  <c r="N35"/>
  <c r="M34"/>
  <c r="N34" s="1"/>
  <c r="M33"/>
  <c r="N33" s="1"/>
  <c r="M32"/>
  <c r="N32" s="1"/>
  <c r="M31"/>
  <c r="N31" s="1"/>
  <c r="L30"/>
  <c r="K30"/>
  <c r="J30"/>
  <c r="I30"/>
  <c r="H30"/>
  <c r="G30"/>
  <c r="F30"/>
  <c r="E30"/>
  <c r="D30"/>
  <c r="B30"/>
  <c r="N29"/>
  <c r="N28"/>
  <c r="M27"/>
  <c r="L27"/>
  <c r="K27"/>
  <c r="J27"/>
  <c r="I27"/>
  <c r="H27"/>
  <c r="G27"/>
  <c r="F27"/>
  <c r="E27"/>
  <c r="D27"/>
  <c r="C27"/>
  <c r="B27"/>
  <c r="N27" s="1"/>
  <c r="K26"/>
  <c r="J26"/>
  <c r="I26"/>
  <c r="H26"/>
  <c r="G26"/>
  <c r="F26"/>
  <c r="E26"/>
  <c r="B26"/>
  <c r="N25"/>
  <c r="J24"/>
  <c r="J23" s="1"/>
  <c r="J6" s="1"/>
  <c r="J63" s="1"/>
  <c r="I24"/>
  <c r="F24"/>
  <c r="F23" s="1"/>
  <c r="F6" s="1"/>
  <c r="F63" s="1"/>
  <c r="E24"/>
  <c r="M23"/>
  <c r="L23"/>
  <c r="K23"/>
  <c r="I23"/>
  <c r="H23"/>
  <c r="G23"/>
  <c r="E23"/>
  <c r="D23"/>
  <c r="C23"/>
  <c r="B23"/>
  <c r="C22"/>
  <c r="N22" s="1"/>
  <c r="N21"/>
  <c r="N20"/>
  <c r="M19"/>
  <c r="L19"/>
  <c r="K19"/>
  <c r="J19"/>
  <c r="I19"/>
  <c r="H19"/>
  <c r="G19"/>
  <c r="F19"/>
  <c r="E19"/>
  <c r="D19"/>
  <c r="C19"/>
  <c r="B19"/>
  <c r="N19" s="1"/>
  <c r="N18"/>
  <c r="M17"/>
  <c r="L17"/>
  <c r="K17"/>
  <c r="J17"/>
  <c r="I17"/>
  <c r="H17"/>
  <c r="G17"/>
  <c r="F17"/>
  <c r="E17"/>
  <c r="D17"/>
  <c r="C17"/>
  <c r="B17"/>
  <c r="M16"/>
  <c r="L16"/>
  <c r="K16"/>
  <c r="J16"/>
  <c r="I16"/>
  <c r="H16"/>
  <c r="G16"/>
  <c r="F16"/>
  <c r="E16"/>
  <c r="D16"/>
  <c r="C16"/>
  <c r="B16"/>
  <c r="M15"/>
  <c r="L15"/>
  <c r="K15"/>
  <c r="J15"/>
  <c r="I15"/>
  <c r="H15"/>
  <c r="G15"/>
  <c r="F15"/>
  <c r="E15"/>
  <c r="D15"/>
  <c r="C15"/>
  <c r="B15"/>
  <c r="M14"/>
  <c r="L14"/>
  <c r="K14"/>
  <c r="J14"/>
  <c r="I14"/>
  <c r="H14"/>
  <c r="G14"/>
  <c r="F14"/>
  <c r="E14"/>
  <c r="D14"/>
  <c r="C14"/>
  <c r="B14"/>
  <c r="I13"/>
  <c r="N13" s="1"/>
  <c r="L12"/>
  <c r="N12" s="1"/>
  <c r="M11"/>
  <c r="L11"/>
  <c r="K11"/>
  <c r="J11"/>
  <c r="I11"/>
  <c r="H11"/>
  <c r="G11"/>
  <c r="F11"/>
  <c r="E11"/>
  <c r="D11"/>
  <c r="C11"/>
  <c r="B11"/>
  <c r="N11" s="1"/>
  <c r="M10"/>
  <c r="L10"/>
  <c r="K10"/>
  <c r="J10"/>
  <c r="I10"/>
  <c r="H10"/>
  <c r="G10"/>
  <c r="F10"/>
  <c r="E10"/>
  <c r="D10"/>
  <c r="C10"/>
  <c r="B10"/>
  <c r="N10" s="1"/>
  <c r="M9"/>
  <c r="L9"/>
  <c r="K9"/>
  <c r="J9"/>
  <c r="I9"/>
  <c r="H9"/>
  <c r="G9"/>
  <c r="F9"/>
  <c r="E9"/>
  <c r="D9"/>
  <c r="C9"/>
  <c r="B9"/>
  <c r="N9" s="1"/>
  <c r="M8"/>
  <c r="L8"/>
  <c r="K8"/>
  <c r="J8"/>
  <c r="I8"/>
  <c r="H8"/>
  <c r="G8"/>
  <c r="F8"/>
  <c r="E8"/>
  <c r="D8"/>
  <c r="C8"/>
  <c r="B8"/>
  <c r="N8" s="1"/>
  <c r="M7"/>
  <c r="L7"/>
  <c r="K7"/>
  <c r="J7"/>
  <c r="I7"/>
  <c r="H7"/>
  <c r="G7"/>
  <c r="F7"/>
  <c r="E7"/>
  <c r="D7"/>
  <c r="C7"/>
  <c r="B7"/>
  <c r="N7" s="1"/>
  <c r="M6"/>
  <c r="L6"/>
  <c r="K6"/>
  <c r="K63" s="1"/>
  <c r="I6"/>
  <c r="I63" s="1"/>
  <c r="H6"/>
  <c r="H63" s="1"/>
  <c r="G6"/>
  <c r="G63" s="1"/>
  <c r="E6"/>
  <c r="E63" s="1"/>
  <c r="D6"/>
  <c r="C6"/>
  <c r="B6"/>
  <c r="B63" s="1"/>
  <c r="D26" i="107"/>
  <c r="D24"/>
  <c r="D20"/>
  <c r="D19"/>
  <c r="D13"/>
  <c r="D12"/>
  <c r="D11"/>
  <c r="D10"/>
  <c r="B58"/>
  <c r="B47"/>
  <c r="D37"/>
  <c r="D34"/>
  <c r="D25"/>
  <c r="B22"/>
  <c r="B18"/>
  <c r="D17"/>
  <c r="B13"/>
  <c r="D9"/>
  <c r="B7"/>
  <c r="D6"/>
  <c r="B6"/>
  <c r="D32" i="106"/>
  <c r="B63"/>
  <c r="B47"/>
  <c r="D37"/>
  <c r="D34"/>
  <c r="D25"/>
  <c r="B22"/>
  <c r="B18"/>
  <c r="D17"/>
  <c r="B13"/>
  <c r="D9"/>
  <c r="B7"/>
  <c r="D6"/>
  <c r="B6"/>
  <c r="D5"/>
  <c r="D32" i="105"/>
  <c r="B63"/>
  <c r="B47"/>
  <c r="D37"/>
  <c r="D34"/>
  <c r="D25"/>
  <c r="B22"/>
  <c r="B18"/>
  <c r="D17"/>
  <c r="B13"/>
  <c r="D9"/>
  <c r="B7"/>
  <c r="D6"/>
  <c r="B6"/>
  <c r="D5"/>
  <c r="D24" i="103"/>
  <c r="B23"/>
  <c r="B63"/>
  <c r="B47"/>
  <c r="D37"/>
  <c r="D34"/>
  <c r="D25"/>
  <c r="B22"/>
  <c r="B18"/>
  <c r="D17"/>
  <c r="B13"/>
  <c r="D9"/>
  <c r="B7"/>
  <c r="D6"/>
  <c r="B6"/>
  <c r="D22" i="94"/>
  <c r="D12" i="87"/>
  <c r="D9"/>
  <c r="G69" i="101"/>
  <c r="K69" s="1"/>
  <c r="K68"/>
  <c r="G67"/>
  <c r="K67" s="1"/>
  <c r="K66"/>
  <c r="K65"/>
  <c r="K64"/>
  <c r="G63"/>
  <c r="K63" s="1"/>
  <c r="C62"/>
  <c r="K62" s="1"/>
  <c r="J61"/>
  <c r="I61"/>
  <c r="F61"/>
  <c r="E61"/>
  <c r="C61"/>
  <c r="E60"/>
  <c r="K60" s="1"/>
  <c r="I59"/>
  <c r="E59"/>
  <c r="C59"/>
  <c r="K59" s="1"/>
  <c r="J58"/>
  <c r="I58"/>
  <c r="H58"/>
  <c r="G58"/>
  <c r="F58"/>
  <c r="E58"/>
  <c r="D58"/>
  <c r="C58"/>
  <c r="B58"/>
  <c r="L37"/>
  <c r="B37"/>
  <c r="N37" s="1"/>
  <c r="M36"/>
  <c r="L36"/>
  <c r="H36"/>
  <c r="H32" s="1"/>
  <c r="E36"/>
  <c r="D36"/>
  <c r="D32" s="1"/>
  <c r="C36"/>
  <c r="B36"/>
  <c r="N36" s="1"/>
  <c r="N35"/>
  <c r="N34"/>
  <c r="L33"/>
  <c r="N33" s="1"/>
  <c r="M32"/>
  <c r="K32"/>
  <c r="J32"/>
  <c r="I32"/>
  <c r="G32"/>
  <c r="F32"/>
  <c r="E32"/>
  <c r="C32"/>
  <c r="N31"/>
  <c r="N30"/>
  <c r="N29"/>
  <c r="N28"/>
  <c r="N27"/>
  <c r="E26"/>
  <c r="N26" s="1"/>
  <c r="K25"/>
  <c r="N25" s="1"/>
  <c r="N24"/>
  <c r="K23"/>
  <c r="J23"/>
  <c r="J22" s="1"/>
  <c r="J20" s="1"/>
  <c r="G23"/>
  <c r="F23"/>
  <c r="F22" s="1"/>
  <c r="F20" s="1"/>
  <c r="E23"/>
  <c r="D23"/>
  <c r="D22" s="1"/>
  <c r="D20" s="1"/>
  <c r="C23"/>
  <c r="M22"/>
  <c r="L22"/>
  <c r="K22"/>
  <c r="K20" s="1"/>
  <c r="I22"/>
  <c r="H22"/>
  <c r="G22"/>
  <c r="E22"/>
  <c r="E20" s="1"/>
  <c r="C22"/>
  <c r="B22"/>
  <c r="N21"/>
  <c r="M20"/>
  <c r="I20"/>
  <c r="G20"/>
  <c r="C20"/>
  <c r="N19"/>
  <c r="N18"/>
  <c r="M17"/>
  <c r="L17"/>
  <c r="K17"/>
  <c r="J17"/>
  <c r="I17"/>
  <c r="H17"/>
  <c r="G17"/>
  <c r="F17"/>
  <c r="E17"/>
  <c r="D17"/>
  <c r="C17"/>
  <c r="B17"/>
  <c r="N16"/>
  <c r="I57" s="1"/>
  <c r="I56" s="1"/>
  <c r="I70" s="1"/>
  <c r="N15"/>
  <c r="H57" s="1"/>
  <c r="H56" s="1"/>
  <c r="H70" s="1"/>
  <c r="N14"/>
  <c r="N13"/>
  <c r="G57" s="1"/>
  <c r="G56" s="1"/>
  <c r="G70" s="1"/>
  <c r="N12"/>
  <c r="F57" s="1"/>
  <c r="F56" s="1"/>
  <c r="F70" s="1"/>
  <c r="N11"/>
  <c r="E57" s="1"/>
  <c r="E56" s="1"/>
  <c r="E70" s="1"/>
  <c r="N10"/>
  <c r="D57" s="1"/>
  <c r="D56" s="1"/>
  <c r="D70" s="1"/>
  <c r="N9"/>
  <c r="C57" s="1"/>
  <c r="C56" s="1"/>
  <c r="C70" s="1"/>
  <c r="N8"/>
  <c r="B57" s="1"/>
  <c r="M7"/>
  <c r="M6" s="1"/>
  <c r="M38" s="1"/>
  <c r="L7"/>
  <c r="K7"/>
  <c r="K6" s="1"/>
  <c r="J7"/>
  <c r="I7"/>
  <c r="I6" s="1"/>
  <c r="I38" s="1"/>
  <c r="H7"/>
  <c r="G7"/>
  <c r="G6" s="1"/>
  <c r="G38" s="1"/>
  <c r="F7"/>
  <c r="E7"/>
  <c r="E6" s="1"/>
  <c r="D7"/>
  <c r="C7"/>
  <c r="C6" s="1"/>
  <c r="C38" s="1"/>
  <c r="B7"/>
  <c r="L6"/>
  <c r="J6"/>
  <c r="J38" s="1"/>
  <c r="H6"/>
  <c r="F6"/>
  <c r="F38" s="1"/>
  <c r="D6"/>
  <c r="D38" s="1"/>
  <c r="B6"/>
  <c r="D22" i="100"/>
  <c r="D18" s="1"/>
  <c r="B17"/>
  <c r="D8"/>
  <c r="B7"/>
  <c r="B6"/>
  <c r="D23" i="99"/>
  <c r="D22"/>
  <c r="D19"/>
  <c r="D18"/>
  <c r="B17"/>
  <c r="D8"/>
  <c r="D6" s="1"/>
  <c r="B7"/>
  <c r="B6" s="1"/>
  <c r="D11" i="98"/>
  <c r="D9"/>
  <c r="D18"/>
  <c r="B17"/>
  <c r="D8"/>
  <c r="B7"/>
  <c r="D6"/>
  <c r="D9" i="97"/>
  <c r="B5" i="103" l="1"/>
  <c r="B5" i="105"/>
  <c r="C63" i="108"/>
  <c r="D6" i="100"/>
  <c r="D5" i="103"/>
  <c r="B5" i="106"/>
  <c r="L63" i="108"/>
  <c r="N14"/>
  <c r="N15"/>
  <c r="N16"/>
  <c r="N23"/>
  <c r="N24"/>
  <c r="M30"/>
  <c r="M26" s="1"/>
  <c r="M63" s="1"/>
  <c r="N37"/>
  <c r="N38"/>
  <c r="N45"/>
  <c r="D46"/>
  <c r="D26" s="1"/>
  <c r="D63" s="1"/>
  <c r="N63" s="1"/>
  <c r="B5" i="107"/>
  <c r="N30" i="108"/>
  <c r="N17"/>
  <c r="N55"/>
  <c r="N6"/>
  <c r="D5" i="107"/>
  <c r="B42" s="1"/>
  <c r="B42" i="106"/>
  <c r="B42" i="105"/>
  <c r="B42" i="103"/>
  <c r="E38" i="101"/>
  <c r="K58"/>
  <c r="K61"/>
  <c r="N7"/>
  <c r="K38"/>
  <c r="N17"/>
  <c r="H20"/>
  <c r="H38" s="1"/>
  <c r="B56"/>
  <c r="N6"/>
  <c r="N23"/>
  <c r="N22" s="1"/>
  <c r="B32"/>
  <c r="L32"/>
  <c r="L20" s="1"/>
  <c r="L38" s="1"/>
  <c r="J57"/>
  <c r="J56" s="1"/>
  <c r="J70" s="1"/>
  <c r="B24" i="100"/>
  <c r="B24" i="99"/>
  <c r="B6" i="98"/>
  <c r="B24" s="1"/>
  <c r="N26" i="108" l="1"/>
  <c r="N46"/>
  <c r="N32" i="101"/>
  <c r="B20"/>
  <c r="B70"/>
  <c r="K56"/>
  <c r="K70" s="1"/>
  <c r="K57"/>
  <c r="N20" l="1"/>
  <c r="B38"/>
  <c r="N38" s="1"/>
  <c r="D18" i="97" l="1"/>
  <c r="B17"/>
  <c r="D8"/>
  <c r="B7"/>
  <c r="D6"/>
  <c r="B6"/>
  <c r="D18" i="96"/>
  <c r="B17"/>
  <c r="D8"/>
  <c r="B7"/>
  <c r="D6"/>
  <c r="B6"/>
  <c r="B13" i="95"/>
  <c r="B7"/>
  <c r="B63"/>
  <c r="B47"/>
  <c r="D37"/>
  <c r="D34"/>
  <c r="D25"/>
  <c r="B22"/>
  <c r="D17"/>
  <c r="B18"/>
  <c r="D9"/>
  <c r="D6"/>
  <c r="D18" i="94"/>
  <c r="B17"/>
  <c r="D8"/>
  <c r="B7"/>
  <c r="D6"/>
  <c r="B6"/>
  <c r="B60" i="92"/>
  <c r="B47"/>
  <c r="D37"/>
  <c r="D34"/>
  <c r="D25"/>
  <c r="B20"/>
  <c r="D17"/>
  <c r="B16"/>
  <c r="B12"/>
  <c r="D9"/>
  <c r="B7"/>
  <c r="D6"/>
  <c r="B6"/>
  <c r="D9" i="91"/>
  <c r="D8" s="1"/>
  <c r="D18"/>
  <c r="B17"/>
  <c r="B7"/>
  <c r="B6" s="1"/>
  <c r="B64" i="90"/>
  <c r="D32"/>
  <c r="D30"/>
  <c r="D28"/>
  <c r="D27"/>
  <c r="D25" s="1"/>
  <c r="D24"/>
  <c r="B47"/>
  <c r="D37"/>
  <c r="D34"/>
  <c r="B20"/>
  <c r="D17"/>
  <c r="B16"/>
  <c r="B12"/>
  <c r="D9"/>
  <c r="B7"/>
  <c r="D6"/>
  <c r="D18" i="89"/>
  <c r="B17"/>
  <c r="D8"/>
  <c r="D6" s="1"/>
  <c r="B7"/>
  <c r="B6" s="1"/>
  <c r="B59" i="88"/>
  <c r="B47"/>
  <c r="D37"/>
  <c r="D34"/>
  <c r="D25"/>
  <c r="D17"/>
  <c r="B20"/>
  <c r="B16"/>
  <c r="B6" s="1"/>
  <c r="B5" s="1"/>
  <c r="B12"/>
  <c r="D9"/>
  <c r="B7"/>
  <c r="D6"/>
  <c r="D22" i="87"/>
  <c r="D18" s="1"/>
  <c r="B17"/>
  <c r="D8"/>
  <c r="B7"/>
  <c r="B6" s="1"/>
  <c r="B57" i="84"/>
  <c r="B60" i="86"/>
  <c r="D24"/>
  <c r="D17" s="1"/>
  <c r="B21"/>
  <c r="B20" s="1"/>
  <c r="B47"/>
  <c r="D37"/>
  <c r="D34"/>
  <c r="D25"/>
  <c r="B16"/>
  <c r="B12"/>
  <c r="D9"/>
  <c r="B7"/>
  <c r="D6"/>
  <c r="D22" i="83"/>
  <c r="D22" i="85"/>
  <c r="D9"/>
  <c r="D18"/>
  <c r="B17"/>
  <c r="D8"/>
  <c r="D6" s="1"/>
  <c r="B7"/>
  <c r="B6" s="1"/>
  <c r="B18" i="82"/>
  <c r="B7" i="84"/>
  <c r="D32"/>
  <c r="D25" s="1"/>
  <c r="D24"/>
  <c r="B12"/>
  <c r="B47"/>
  <c r="D37"/>
  <c r="D34"/>
  <c r="B20"/>
  <c r="D17"/>
  <c r="B16"/>
  <c r="D9"/>
  <c r="D6"/>
  <c r="B7" i="83"/>
  <c r="D9"/>
  <c r="D8" s="1"/>
  <c r="D18"/>
  <c r="B17"/>
  <c r="B57" i="82"/>
  <c r="D24"/>
  <c r="D16"/>
  <c r="D9" s="1"/>
  <c r="B48"/>
  <c r="D37"/>
  <c r="D34"/>
  <c r="D25"/>
  <c r="B19"/>
  <c r="D17"/>
  <c r="B15"/>
  <c r="B11"/>
  <c r="B7"/>
  <c r="D6"/>
  <c r="B19" i="32"/>
  <c r="D24"/>
  <c r="D22" i="81"/>
  <c r="D21"/>
  <c r="D6" i="87" l="1"/>
  <c r="B24" s="1"/>
  <c r="B24" i="97"/>
  <c r="B24" i="96"/>
  <c r="D5" i="95"/>
  <c r="B6"/>
  <c r="B5" s="1"/>
  <c r="B24" i="94"/>
  <c r="D5" i="92"/>
  <c r="B5"/>
  <c r="B6" i="90"/>
  <c r="B5" s="1"/>
  <c r="D6" i="91"/>
  <c r="B24" s="1"/>
  <c r="D5" i="90"/>
  <c r="B24" i="89"/>
  <c r="D5" i="88"/>
  <c r="B42" s="1"/>
  <c r="B6" i="82"/>
  <c r="B5" s="1"/>
  <c r="D5" i="86"/>
  <c r="B6"/>
  <c r="B5" s="1"/>
  <c r="B24" i="85"/>
  <c r="D5" i="84"/>
  <c r="B6"/>
  <c r="B5" s="1"/>
  <c r="D6" i="83"/>
  <c r="B6"/>
  <c r="D5" i="82"/>
  <c r="D17" i="81"/>
  <c r="D8"/>
  <c r="B16"/>
  <c r="B7"/>
  <c r="B6" s="1"/>
  <c r="B42" i="95" l="1"/>
  <c r="B42" i="92"/>
  <c r="B42" i="90"/>
  <c r="B42" i="86"/>
  <c r="B42" i="84"/>
  <c r="B24" i="83"/>
  <c r="B42" i="82"/>
  <c r="D6" i="81"/>
  <c r="B23" s="1"/>
  <c r="B57" i="32"/>
  <c r="B48"/>
  <c r="D6"/>
  <c r="D34" l="1"/>
  <c r="B15"/>
  <c r="D37"/>
  <c r="D9"/>
  <c r="D17"/>
  <c r="D25"/>
  <c r="D5" l="1"/>
  <c r="B11" l="1"/>
  <c r="B7" l="1"/>
  <c r="B6" l="1"/>
  <c r="B5" l="1"/>
  <c r="B42" s="1"/>
</calcChain>
</file>

<file path=xl/comments1.xml><?xml version="1.0" encoding="utf-8"?>
<comments xmlns="http://schemas.openxmlformats.org/spreadsheetml/2006/main">
  <authors>
    <author>tran ha</author>
  </authors>
  <commentList>
    <comment ref="G51" authorId="0">
      <text>
        <r>
          <rPr>
            <b/>
            <sz val="8"/>
            <color indexed="81"/>
            <rFont val="Tahoma"/>
          </rPr>
          <t>tran ha:</t>
        </r>
        <r>
          <rPr>
            <sz val="8"/>
            <color indexed="81"/>
            <rFont val="Tahoma"/>
          </rPr>
          <t xml:space="preserve">
Quyet toan thue, nop thue GTGT Q1</t>
        </r>
      </text>
    </comment>
  </commentList>
</comments>
</file>

<file path=xl/comments10.xml><?xml version="1.0" encoding="utf-8"?>
<comments xmlns="http://schemas.openxmlformats.org/spreadsheetml/2006/main">
  <authors>
    <author>tran ha</author>
  </authors>
  <commentList>
    <comment ref="B51" authorId="0">
      <text>
        <r>
          <rPr>
            <sz val="8"/>
            <color indexed="81"/>
            <rFont val="Tahoma"/>
            <family val="2"/>
          </rPr>
          <t xml:space="preserve">Thang 8
Tien coc: </t>
        </r>
        <r>
          <rPr>
            <b/>
            <sz val="8"/>
            <color indexed="81"/>
            <rFont val="Tahoma"/>
            <family val="2"/>
          </rPr>
          <t>16.500.000</t>
        </r>
      </text>
    </comment>
  </commentList>
</comments>
</file>

<file path=xl/comments11.xml><?xml version="1.0" encoding="utf-8"?>
<comments xmlns="http://schemas.openxmlformats.org/spreadsheetml/2006/main">
  <authors>
    <author>tran ha</author>
  </authors>
  <commentList>
    <comment ref="B51" authorId="0">
      <text>
        <r>
          <rPr>
            <sz val="8"/>
            <color indexed="81"/>
            <rFont val="Tahoma"/>
            <family val="2"/>
          </rPr>
          <t xml:space="preserve">Thang 8
Tien coc: </t>
        </r>
        <r>
          <rPr>
            <b/>
            <sz val="8"/>
            <color indexed="81"/>
            <rFont val="Tahoma"/>
            <family val="2"/>
          </rPr>
          <t>16.500.000</t>
        </r>
      </text>
    </comment>
  </commentList>
</comments>
</file>

<file path=xl/comments12.xml><?xml version="1.0" encoding="utf-8"?>
<comments xmlns="http://schemas.openxmlformats.org/spreadsheetml/2006/main">
  <authors>
    <author>tran ha</author>
  </authors>
  <commentList>
    <comment ref="B51" authorId="0">
      <text>
        <r>
          <rPr>
            <sz val="8"/>
            <color indexed="81"/>
            <rFont val="Tahoma"/>
            <family val="2"/>
          </rPr>
          <t xml:space="preserve">Thang 8
Tien coc: </t>
        </r>
        <r>
          <rPr>
            <b/>
            <sz val="8"/>
            <color indexed="81"/>
            <rFont val="Tahoma"/>
            <family val="2"/>
          </rPr>
          <t>16.500.000</t>
        </r>
      </text>
    </comment>
  </commentList>
</comments>
</file>

<file path=xl/comments2.xml><?xml version="1.0" encoding="utf-8"?>
<comments xmlns="http://schemas.openxmlformats.org/spreadsheetml/2006/main">
  <authors>
    <author>tran ha</author>
  </authors>
  <commentList>
    <comment ref="B52" authorId="0">
      <text>
        <r>
          <rPr>
            <sz val="8"/>
            <color indexed="81"/>
            <rFont val="Tahoma"/>
            <family val="2"/>
          </rPr>
          <t xml:space="preserve">Thang 1:4.888.920
Tien coc: </t>
        </r>
        <r>
          <rPr>
            <b/>
            <sz val="8"/>
            <color indexed="81"/>
            <rFont val="Tahoma"/>
            <family val="2"/>
          </rPr>
          <t>16.500.000</t>
        </r>
      </text>
    </comment>
  </commentList>
</comments>
</file>

<file path=xl/comments3.xml><?xml version="1.0" encoding="utf-8"?>
<comments xmlns="http://schemas.openxmlformats.org/spreadsheetml/2006/main">
  <authors>
    <author>tran ha</author>
  </authors>
  <commentList>
    <comment ref="B52" authorId="0">
      <text>
        <r>
          <rPr>
            <sz val="8"/>
            <color indexed="81"/>
            <rFont val="Tahoma"/>
            <family val="2"/>
          </rPr>
          <t xml:space="preserve">Thang 1 va thang 2
Tien coc: </t>
        </r>
        <r>
          <rPr>
            <b/>
            <sz val="8"/>
            <color indexed="81"/>
            <rFont val="Tahoma"/>
            <family val="2"/>
          </rPr>
          <t>16.500.000</t>
        </r>
      </text>
    </comment>
  </commentList>
</comments>
</file>

<file path=xl/comments4.xml><?xml version="1.0" encoding="utf-8"?>
<comments xmlns="http://schemas.openxmlformats.org/spreadsheetml/2006/main">
  <authors>
    <author>tran ha</author>
  </authors>
  <commentList>
    <comment ref="B51" authorId="0">
      <text>
        <r>
          <rPr>
            <sz val="8"/>
            <color indexed="81"/>
            <rFont val="Tahoma"/>
            <family val="2"/>
          </rPr>
          <t xml:space="preserve">Thang 1 va thang 2,3
Tien coc: </t>
        </r>
        <r>
          <rPr>
            <b/>
            <sz val="8"/>
            <color indexed="81"/>
            <rFont val="Tahoma"/>
            <family val="2"/>
          </rPr>
          <t>16.500.000</t>
        </r>
      </text>
    </comment>
  </commentList>
</comments>
</file>

<file path=xl/comments5.xml><?xml version="1.0" encoding="utf-8"?>
<comments xmlns="http://schemas.openxmlformats.org/spreadsheetml/2006/main">
  <authors>
    <author>tran ha</author>
  </authors>
  <commentList>
    <comment ref="B51" authorId="0">
      <text>
        <r>
          <rPr>
            <sz val="8"/>
            <color indexed="81"/>
            <rFont val="Tahoma"/>
            <family val="2"/>
          </rPr>
          <t xml:space="preserve">Thang 3,4
Tien coc: </t>
        </r>
        <r>
          <rPr>
            <b/>
            <sz val="8"/>
            <color indexed="81"/>
            <rFont val="Tahoma"/>
            <family val="2"/>
          </rPr>
          <t>16.500.000</t>
        </r>
      </text>
    </comment>
    <comment ref="B52" authorId="0">
      <text>
        <r>
          <rPr>
            <b/>
            <sz val="8"/>
            <color indexed="81"/>
            <rFont val="Tahoma"/>
          </rPr>
          <t>tran ha:</t>
        </r>
        <r>
          <rPr>
            <sz val="8"/>
            <color indexed="81"/>
            <rFont val="Tahoma"/>
          </rPr>
          <t xml:space="preserve">
T3+4</t>
        </r>
      </text>
    </comment>
    <comment ref="B57" authorId="0">
      <text>
        <r>
          <rPr>
            <b/>
            <sz val="8"/>
            <color indexed="81"/>
            <rFont val="Tahoma"/>
          </rPr>
          <t>tran ha:</t>
        </r>
        <r>
          <rPr>
            <sz val="8"/>
            <color indexed="81"/>
            <rFont val="Tahoma"/>
          </rPr>
          <t xml:space="preserve">
Thue VP Q1/2014, dien T1,2,3</t>
        </r>
      </text>
    </comment>
    <comment ref="B58" authorId="0">
      <text>
        <r>
          <rPr>
            <b/>
            <sz val="8"/>
            <color indexed="81"/>
            <rFont val="Tahoma"/>
          </rPr>
          <t>tran ha:</t>
        </r>
        <r>
          <rPr>
            <sz val="8"/>
            <color indexed="81"/>
            <rFont val="Tahoma"/>
          </rPr>
          <t xml:space="preserve">
T3+4</t>
        </r>
      </text>
    </comment>
    <comment ref="B59" authorId="0">
      <text>
        <r>
          <rPr>
            <b/>
            <sz val="8"/>
            <color indexed="81"/>
            <rFont val="Tahoma"/>
          </rPr>
          <t>tran ha:</t>
        </r>
        <r>
          <rPr>
            <sz val="8"/>
            <color indexed="81"/>
            <rFont val="Tahoma"/>
          </rPr>
          <t xml:space="preserve">
T3/2014</t>
        </r>
      </text>
    </comment>
  </commentList>
</comments>
</file>

<file path=xl/comments6.xml><?xml version="1.0" encoding="utf-8"?>
<comments xmlns="http://schemas.openxmlformats.org/spreadsheetml/2006/main">
  <authors>
    <author>tran ha</author>
  </authors>
  <commentList>
    <comment ref="B51" authorId="0">
      <text>
        <r>
          <rPr>
            <sz val="8"/>
            <color indexed="81"/>
            <rFont val="Tahoma"/>
            <family val="2"/>
          </rPr>
          <t xml:space="preserve">Thang 3,4,5
Tien coc: </t>
        </r>
        <r>
          <rPr>
            <b/>
            <sz val="8"/>
            <color indexed="81"/>
            <rFont val="Tahoma"/>
            <family val="2"/>
          </rPr>
          <t>16.500.000</t>
        </r>
      </text>
    </comment>
    <comment ref="B56" authorId="0">
      <text>
        <r>
          <rPr>
            <b/>
            <sz val="8"/>
            <color indexed="81"/>
            <rFont val="Tahoma"/>
          </rPr>
          <t>tran ha:</t>
        </r>
        <r>
          <rPr>
            <sz val="8"/>
            <color indexed="81"/>
            <rFont val="Tahoma"/>
          </rPr>
          <t xml:space="preserve">
Thue VP Q2/2014, dien T1,2,3,4</t>
        </r>
      </text>
    </comment>
    <comment ref="B57" authorId="0">
      <text>
        <r>
          <rPr>
            <b/>
            <sz val="8"/>
            <color indexed="81"/>
            <rFont val="Tahoma"/>
          </rPr>
          <t>tran ha:</t>
        </r>
        <r>
          <rPr>
            <sz val="8"/>
            <color indexed="81"/>
            <rFont val="Tahoma"/>
          </rPr>
          <t xml:space="preserve">
T3,5</t>
        </r>
      </text>
    </comment>
  </commentList>
</comments>
</file>

<file path=xl/comments7.xml><?xml version="1.0" encoding="utf-8"?>
<comments xmlns="http://schemas.openxmlformats.org/spreadsheetml/2006/main">
  <authors>
    <author>tran ha</author>
  </authors>
  <commentList>
    <comment ref="D30" authorId="0">
      <text>
        <r>
          <rPr>
            <b/>
            <sz val="8"/>
            <color indexed="81"/>
            <rFont val="Tahoma"/>
          </rPr>
          <t>tran ha:</t>
        </r>
        <r>
          <rPr>
            <sz val="8"/>
            <color indexed="81"/>
            <rFont val="Tahoma"/>
          </rPr>
          <t xml:space="preserve">
Quyet toan thue, nop thue GTGT Q1</t>
        </r>
      </text>
    </comment>
    <comment ref="B51" authorId="0">
      <text>
        <r>
          <rPr>
            <sz val="8"/>
            <color indexed="81"/>
            <rFont val="Tahoma"/>
            <family val="2"/>
          </rPr>
          <t xml:space="preserve">Thang 6
Tien coc: </t>
        </r>
        <r>
          <rPr>
            <b/>
            <sz val="8"/>
            <color indexed="81"/>
            <rFont val="Tahoma"/>
            <family val="2"/>
          </rPr>
          <t>16.500.000</t>
        </r>
      </text>
    </comment>
    <comment ref="B52" authorId="0">
      <text>
        <r>
          <rPr>
            <b/>
            <sz val="8"/>
            <color indexed="81"/>
            <rFont val="Tahoma"/>
          </rPr>
          <t>tran ha:</t>
        </r>
        <r>
          <rPr>
            <sz val="8"/>
            <color indexed="81"/>
            <rFont val="Tahoma"/>
          </rPr>
          <t xml:space="preserve">
thang 5,6</t>
        </r>
      </text>
    </comment>
    <comment ref="B54" authorId="0">
      <text>
        <r>
          <rPr>
            <b/>
            <sz val="8"/>
            <color indexed="81"/>
            <rFont val="Tahoma"/>
          </rPr>
          <t>tran ha:</t>
        </r>
        <r>
          <rPr>
            <sz val="8"/>
            <color indexed="81"/>
            <rFont val="Tahoma"/>
          </rPr>
          <t xml:space="preserve">
thang 5,6</t>
        </r>
      </text>
    </comment>
    <comment ref="B59" authorId="0">
      <text>
        <r>
          <rPr>
            <sz val="8"/>
            <color indexed="81"/>
            <rFont val="Tahoma"/>
          </rPr>
          <t xml:space="preserve"> dien T1,2,3,4,5</t>
        </r>
      </text>
    </comment>
    <comment ref="B63" authorId="0">
      <text>
        <r>
          <rPr>
            <b/>
            <sz val="8"/>
            <color indexed="81"/>
            <rFont val="Tahoma"/>
          </rPr>
          <t>tran ha:</t>
        </r>
        <r>
          <rPr>
            <sz val="8"/>
            <color indexed="81"/>
            <rFont val="Tahoma"/>
          </rPr>
          <t xml:space="preserve">
tien coc, tien thue vp t6</t>
        </r>
      </text>
    </comment>
  </commentList>
</comments>
</file>

<file path=xl/comments8.xml><?xml version="1.0" encoding="utf-8"?>
<comments xmlns="http://schemas.openxmlformats.org/spreadsheetml/2006/main">
  <authors>
    <author>tran ha</author>
  </authors>
  <commentList>
    <comment ref="B51" authorId="0">
      <text>
        <r>
          <rPr>
            <sz val="8"/>
            <color indexed="81"/>
            <rFont val="Tahoma"/>
            <family val="2"/>
          </rPr>
          <t xml:space="preserve">Thang 6,7
Tien coc: </t>
        </r>
        <r>
          <rPr>
            <b/>
            <sz val="8"/>
            <color indexed="81"/>
            <rFont val="Tahoma"/>
            <family val="2"/>
          </rPr>
          <t>16.500.000</t>
        </r>
      </text>
    </comment>
    <comment ref="B53" authorId="0">
      <text>
        <r>
          <rPr>
            <b/>
            <sz val="8"/>
            <color indexed="81"/>
            <rFont val="Tahoma"/>
          </rPr>
          <t>tran ha:</t>
        </r>
        <r>
          <rPr>
            <sz val="8"/>
            <color indexed="81"/>
            <rFont val="Tahoma"/>
          </rPr>
          <t xml:space="preserve">
T6,7</t>
        </r>
      </text>
    </comment>
  </commentList>
</comments>
</file>

<file path=xl/comments9.xml><?xml version="1.0" encoding="utf-8"?>
<comments xmlns="http://schemas.openxmlformats.org/spreadsheetml/2006/main">
  <authors>
    <author>tran ha</author>
  </authors>
  <commentList>
    <comment ref="B51" authorId="0">
      <text>
        <r>
          <rPr>
            <sz val="8"/>
            <color indexed="81"/>
            <rFont val="Tahoma"/>
            <family val="2"/>
          </rPr>
          <t xml:space="preserve">Thang 8
Tien coc: </t>
        </r>
        <r>
          <rPr>
            <b/>
            <sz val="8"/>
            <color indexed="81"/>
            <rFont val="Tahoma"/>
            <family val="2"/>
          </rPr>
          <t>16.500.000</t>
        </r>
      </text>
    </comment>
  </commentList>
</comments>
</file>

<file path=xl/sharedStrings.xml><?xml version="1.0" encoding="utf-8"?>
<sst xmlns="http://schemas.openxmlformats.org/spreadsheetml/2006/main" count="1578" uniqueCount="182">
  <si>
    <t>COÂNG TY TNHH TP CAO CAÁP LINH</t>
  </si>
  <si>
    <t xml:space="preserve">    - Chi phí khaùc</t>
  </si>
  <si>
    <t>1. Chi phí taøi chính</t>
  </si>
  <si>
    <t>4. Chi phí truï sôû</t>
  </si>
  <si>
    <t>5. Chi phí lương</t>
  </si>
  <si>
    <t>6. Chi phí xaây döïng</t>
  </si>
  <si>
    <t xml:space="preserve">    - Chi laõi vay NH Sacombank</t>
  </si>
  <si>
    <t>Teân Chæ Tieâu</t>
  </si>
  <si>
    <t xml:space="preserve">    - Doanh thu VP Mieáu Noåi</t>
  </si>
  <si>
    <t xml:space="preserve">    - Doanh thu VP Ñieän Bieân Phuû</t>
  </si>
  <si>
    <t>1.  Doanh thu baùn haøng vaø cung caáp dòch vuï</t>
  </si>
  <si>
    <t xml:space="preserve">    - Chi phí ñieän</t>
  </si>
  <si>
    <t xml:space="preserve">    - Chi phí nöôùc</t>
  </si>
  <si>
    <t xml:space="preserve">    - Chi phí ñieän thoaïi</t>
  </si>
  <si>
    <t xml:space="preserve">    - Chi phí chung</t>
  </si>
  <si>
    <t xml:space="preserve">    - Chi phí ngaân haøng</t>
  </si>
  <si>
    <t xml:space="preserve">    - Chi phí ñoùng BHXH</t>
  </si>
  <si>
    <t xml:space="preserve">    - Chi phí mua baûo hieåm xe</t>
  </si>
  <si>
    <t>2. Doanh thu taøi chính</t>
  </si>
  <si>
    <t>3. Doanh thu khaùc</t>
  </si>
  <si>
    <t>I. TOÅNG DOANH THU (1+2+3)</t>
  </si>
  <si>
    <t xml:space="preserve">    - Thu VAT xuaát hoùa ñôn</t>
  </si>
  <si>
    <t xml:space="preserve">    - Chi phí nhaø chung cö</t>
  </si>
  <si>
    <t xml:space="preserve">    - Chi phí chi nhaùnh DMC-UC</t>
  </si>
  <si>
    <t xml:space="preserve">    - Chi phí ñi nöôùc ngoaøi</t>
  </si>
  <si>
    <t xml:space="preserve">    - Chi phí daàu chaïy maùy phaùt ñieän</t>
  </si>
  <si>
    <t xml:space="preserve">    - Chi phí söûa chöõa, baûo trì, laép ñaët thay môùi</t>
  </si>
  <si>
    <t xml:space="preserve">    - Chi phí laáy chöùng töø</t>
  </si>
  <si>
    <t xml:space="preserve">    - Thu khaùc</t>
  </si>
  <si>
    <t xml:space="preserve">    - Chi laõi vay NH Đaïi AÙ</t>
  </si>
  <si>
    <t xml:space="preserve">    - Doanh thu Project coäng taùc vieân</t>
  </si>
  <si>
    <t xml:space="preserve">    - Doanh thu Project Beâ Toâng Ly Taâm An Giang</t>
  </si>
  <si>
    <t xml:space="preserve">    - Doanh thu Project Vinata</t>
  </si>
  <si>
    <t xml:space="preserve">    - Doanh thu Project Beâ Toâng Ly Taâm Thuû Ñöùc</t>
  </si>
  <si>
    <t xml:space="preserve">    - Doanh thu Project Tieàn Phong</t>
  </si>
  <si>
    <t xml:space="preserve">    - Chi phí project Tieàn Phong</t>
  </si>
  <si>
    <t xml:space="preserve">    - Chi phí project Vinata</t>
  </si>
  <si>
    <t xml:space="preserve">    - Doanh thu Project Vang Lai</t>
  </si>
  <si>
    <t xml:space="preserve">    - Chi phí project Vang Lai</t>
  </si>
  <si>
    <t xml:space="preserve">    - Chi phí lương nhaân vieân</t>
  </si>
  <si>
    <t xml:space="preserve">    - Chi phí noäp thueá moän baøi, GTGT, TNDN</t>
  </si>
  <si>
    <t>2. Doanh thu khaùc</t>
  </si>
  <si>
    <t>3. Doanh thu taøi chính</t>
  </si>
  <si>
    <t xml:space="preserve">    - Chi phí MY SG-UC</t>
  </si>
  <si>
    <t xml:space="preserve">    - Chi phí mua baûo hieåm toøa nhaø</t>
  </si>
  <si>
    <t xml:space="preserve">    - Chi noäp thueá TNDN, GTGT, moân baøi</t>
  </si>
  <si>
    <t xml:space="preserve">    - Doanh thu Project Cô Khí Kieân Giang</t>
  </si>
  <si>
    <t>2. Chi phí coâng vieäc thöû nghieäm</t>
  </si>
  <si>
    <t xml:space="preserve">             + Tiền thueâ vaên phoøng</t>
  </si>
  <si>
    <t xml:space="preserve">             + Tiền ñieän</t>
  </si>
  <si>
    <t xml:space="preserve">             + Tiền ADSL</t>
  </si>
  <si>
    <t xml:space="preserve">             + Tiền göûi xe</t>
  </si>
  <si>
    <t>Phaûi thu khaùch haøng</t>
  </si>
  <si>
    <t xml:space="preserve">    - Chi chí project Beâ Toâng Ly Taâm An Giang</t>
  </si>
  <si>
    <t xml:space="preserve">    - Chi phí project Beâ Toâng Ly Taâm Thuû Ñöùc</t>
  </si>
  <si>
    <t xml:space="preserve">    - Chi phí project Cô Khí Kieân Giang</t>
  </si>
  <si>
    <t xml:space="preserve">   - Ngaân haøng Sacombank</t>
  </si>
  <si>
    <t xml:space="preserve">   - Ngaân haøng Ñaïi AÙ</t>
  </si>
  <si>
    <t xml:space="preserve">    - Chi phí project DV Coâng Ích Thuû Ñöùc</t>
  </si>
  <si>
    <t xml:space="preserve">    - Doanh thu DV Coâng Ích Thuû Ñöùc</t>
  </si>
  <si>
    <t>TOÅNG COÄNG</t>
  </si>
  <si>
    <t xml:space="preserve">    - Doanh thu xaây döïng</t>
  </si>
  <si>
    <t xml:space="preserve">             + Doanh thu Project Vinata</t>
  </si>
  <si>
    <t xml:space="preserve">             + Doanh thu Project DMC-UC</t>
  </si>
  <si>
    <t xml:space="preserve">    - Chi phí project DMC-UC</t>
  </si>
  <si>
    <t>SOÁ TIEÀN</t>
  </si>
  <si>
    <t>2. Chi phí vaên phoøng Mieáu Noåi</t>
  </si>
  <si>
    <t>3. Chi phí vaên phoøng Ñieän Bieân Phuû</t>
  </si>
  <si>
    <t>7. Chi phí khaùc</t>
  </si>
  <si>
    <t>II. TOÅNG CHI PHÍ (1+2+3+4+5+6+7)</t>
  </si>
  <si>
    <t xml:space="preserve"> Lôïi nhuaän töø hoaït ñoäng kinh doanh (I-II)</t>
  </si>
  <si>
    <t>Nôï vay ngaân haøng</t>
  </si>
  <si>
    <t>Soá tieàn</t>
  </si>
  <si>
    <t xml:space="preserve">3. Chi phí vaên phoøng </t>
  </si>
  <si>
    <t>II. TOÅNG CHI PHÍ (1+2+3)</t>
  </si>
  <si>
    <t>Ngöôøi laäp</t>
  </si>
  <si>
    <t>PHAÏM THANH THUÛY</t>
  </si>
  <si>
    <t>COÂNG TY QUAÙN SIEÂU</t>
  </si>
  <si>
    <t xml:space="preserve">    KEÁT QUAÛ HOAÏT ÑOÄNG KINH DOANH SCIC THAÙNG 1 - 2014</t>
  </si>
  <si>
    <t>QUAÙN BIEÅN ÑOÂNG</t>
  </si>
  <si>
    <t xml:space="preserve">    KEÁT QUAÛ HOAÏT ÑOÄNG KINH DOANH DMC THAÙNG 1 - 2014</t>
  </si>
  <si>
    <t>NH HD BANK- HOÄI SÔÛ</t>
  </si>
  <si>
    <t>NH HD BANK- CN HAØNG XANH</t>
  </si>
  <si>
    <t xml:space="preserve">    KEÁT QUAÛ HOAÏT ÑOÄNG KINH DOANH DMC THAÙNG 2 - 2014</t>
  </si>
  <si>
    <t>COÂNG TY SANH HÖNG</t>
  </si>
  <si>
    <t>COÂNG TY GIA THÒNH</t>
  </si>
  <si>
    <t xml:space="preserve">    KEÁT QUAÛ HOAÏT ÑOÄNG KINH DOANH SCIC THAÙNG 2 - 2014</t>
  </si>
  <si>
    <t xml:space="preserve">    - Doanh thu Project Beâ Toâng Ly Taâm Hậu Giang</t>
  </si>
  <si>
    <t xml:space="preserve">    - Thu Project Beâ Toâng Ly Taâm Haäu Giang</t>
  </si>
  <si>
    <t xml:space="preserve">    KEÁT QUAÛ HOAÏT ÑOÄNG KINH DOANH DMC THAÙNG 3 - 2014</t>
  </si>
  <si>
    <t>CTY TNHH KOHINOOR VN</t>
  </si>
  <si>
    <t>NH TMCP PHAÙT TRIEÅN TP.HCM - HOÄI SÔÛ</t>
  </si>
  <si>
    <t xml:space="preserve">    KEÁT QUAÛ HOAÏT ÑOÄNG KINH DOANH SCIC THAÙNG 3 - 2014</t>
  </si>
  <si>
    <t xml:space="preserve">    KEÁT QUAÛ HOAÏT ÑOÄNG KINH DOANH DMC THAÙNG 4 - 2014</t>
  </si>
  <si>
    <t>LEÂ THU TRANG</t>
  </si>
  <si>
    <t>CTY TNHH TM SX S&amp;S</t>
  </si>
  <si>
    <t>THE FOREST TRUST</t>
  </si>
  <si>
    <t>CTY CP DU LÒCH VAØ ÑAÀU TÖ TAÀM NHÌN MÔÙI</t>
  </si>
  <si>
    <t xml:space="preserve">    KEÁT QUAÛ HOAÏT ÑOÄNG KINH DOANH SCIC THAÙNG 4 - 2014</t>
  </si>
  <si>
    <t xml:space="preserve">    KEÁT QUAÛ HOAÏT ÑOÄNG KINH DOANH DMC THAÙNG 5 - 2014</t>
  </si>
  <si>
    <t>CTY HUØNG VAÂN</t>
  </si>
  <si>
    <t>CTY TRUYEÀN THOÂNG SÖÙC MAÏNH</t>
  </si>
  <si>
    <t xml:space="preserve">    KEÁT QUAÛ HOAÏT ÑOÄNG KINH DOANH SCIC THAÙNG 5 - 2014</t>
  </si>
  <si>
    <t xml:space="preserve">    KEÁT QUAÛ HOAÏT ÑOÄNG KINH DOANH DMC THAÙNG 6 - 2014</t>
  </si>
  <si>
    <t>CTY TNHH TM DV ĐỨC PROAUDIO</t>
  </si>
  <si>
    <t>COÂNG TY SONG HAÂN</t>
  </si>
  <si>
    <t>CN CTY MOÂI TRÖÔØNG XANH CAO NGUYEÂN ÑAØ LAÏT</t>
  </si>
  <si>
    <t>CTY FREIGHT MARK VN</t>
  </si>
  <si>
    <t xml:space="preserve">    KEÁT QUAÛ HOAÏT ÑOÄNG KINH DOANH SCIC THAÙNG 6 - 2014</t>
  </si>
  <si>
    <t xml:space="preserve">    KEÁT QUAÛ HOAÏT ÑOÄNG KINH DOANH DMC THAÙNG 7 - 2014</t>
  </si>
  <si>
    <t xml:space="preserve">    KEÁT QUAÛ HOAÏT ÑOÄNG KINH DOANH SCIC THAÙNG 7 - 2014</t>
  </si>
  <si>
    <t xml:space="preserve">    KEÁT QUAÛ HOAÏT ÑOÄNG KINH DOANH DMC THAÙNG 8 - 2014</t>
  </si>
  <si>
    <t xml:space="preserve">             + Tiền khaùc</t>
  </si>
  <si>
    <t xml:space="preserve">    KEÁT QUAÛ HOAÏT ÑOÄNG KINH DOANH SCIC THAÙNG 8 - 2014</t>
  </si>
  <si>
    <t xml:space="preserve">    KEÁT QUAÛ HOAÏT ÑOÄNG KINH DOANH SCIC THAÙNG 9 - 2014</t>
  </si>
  <si>
    <t xml:space="preserve">    KEÁT QUAÛ HOAÏT ÑOÄNG KINH DOANH SCIC THAÙNG 10 - 2014</t>
  </si>
  <si>
    <t xml:space="preserve">    KEÁT QUAÛ HOAÏT ÑOÄNG KINH DOANH SCIC THAÙNG 11 - 2014</t>
  </si>
  <si>
    <t xml:space="preserve">    KEÁT QUAÛ HOAÏT ÑOÄNG KINH DOANH SCIC THAÙNG 12 - 2014</t>
  </si>
  <si>
    <t xml:space="preserve">    KEÁT QUAÛ HOAÏT ÑOÄNG KINH DOANH COÂNG TY PHÍA NAM</t>
  </si>
  <si>
    <t>Thaùng 1</t>
  </si>
  <si>
    <t>Thaùng 2</t>
  </si>
  <si>
    <t>Thaùng 3</t>
  </si>
  <si>
    <t>Thaùng 4</t>
  </si>
  <si>
    <t>Thaùng 5</t>
  </si>
  <si>
    <t>Thaùng 6</t>
  </si>
  <si>
    <t>Thaùng 7</t>
  </si>
  <si>
    <t>Thaùng 8</t>
  </si>
  <si>
    <t>Thaùng 9</t>
  </si>
  <si>
    <t>Thaùng 10</t>
  </si>
  <si>
    <t>Thaùng 11</t>
  </si>
  <si>
    <t>Thaùng 12</t>
  </si>
  <si>
    <t>Luõy keá naêm</t>
  </si>
  <si>
    <t>II. TOÅNG CHI PHÍ (3+4+5)</t>
  </si>
  <si>
    <t>3. Chi phí taøi chính</t>
  </si>
  <si>
    <t>4. Chi phí coâng vieäc thöû nghieäm</t>
  </si>
  <si>
    <t xml:space="preserve">5. Chi phí vaên phoøng </t>
  </si>
  <si>
    <t xml:space="preserve"> Lôïi nhuaän töø hoaït ñoäng kinh doanh </t>
  </si>
  <si>
    <t xml:space="preserve">    KEÁT QUAÛ HOAÏT ÑOÄNG KINH DOANH XAÂY DÖÏNG</t>
  </si>
  <si>
    <t>Teân coâng trình</t>
  </si>
  <si>
    <t>Project Coâng Taùc Vieân</t>
  </si>
  <si>
    <t>Project Ly Taâm An Giang</t>
  </si>
  <si>
    <t>Project Ly Taâm Thuû Ñöùc</t>
  </si>
  <si>
    <t>Project Cô Khí Kieân Giang</t>
  </si>
  <si>
    <t>Project Tieàn Phong</t>
  </si>
  <si>
    <t>Project Vinata</t>
  </si>
  <si>
    <t>Project DV Coâng Ích Thuû Ñöùc</t>
  </si>
  <si>
    <t>Project Ly Taâm Hậu Giang</t>
  </si>
  <si>
    <t>Project Vang Lai</t>
  </si>
  <si>
    <t>3</t>
  </si>
  <si>
    <t>4</t>
  </si>
  <si>
    <t>5</t>
  </si>
  <si>
    <t>6</t>
  </si>
  <si>
    <t>7</t>
  </si>
  <si>
    <t>8</t>
  </si>
  <si>
    <t>I. DOANH THU XAÂY DÖÏNG</t>
  </si>
  <si>
    <t xml:space="preserve">    - Hôïp ñoàng chính </t>
  </si>
  <si>
    <t>II. CHI PHÍ XAÂY DÖÏNG</t>
  </si>
  <si>
    <t xml:space="preserve">    - Chi Anh Caûnh + phí chuyeån tieàn</t>
  </si>
  <si>
    <t xml:space="preserve">    - Chi Anh Ngữ - Cty Cô Khí Kieân Giang</t>
  </si>
  <si>
    <t xml:space="preserve">    - Chi Anh Tiến DMC</t>
  </si>
  <si>
    <t xml:space="preserve">    - Chi Cty Beâ Toâng Ly Taâm An Giang</t>
  </si>
  <si>
    <t xml:space="preserve">    - Chi Anh Huaân </t>
  </si>
  <si>
    <t xml:space="preserve">    - Chi Anh Quang - CT </t>
  </si>
  <si>
    <t xml:space="preserve">    - Chi A.Thaùi Cty Thaùi Höng Thònh</t>
  </si>
  <si>
    <t xml:space="preserve">    - Chi A.Haûo Cty Phan Vuõ</t>
  </si>
  <si>
    <t xml:space="preserve">    - Chi Anh Thaønh - Cty Vinata</t>
  </si>
  <si>
    <t xml:space="preserve">    - Chi Anh Quang - Cty Vinata</t>
  </si>
  <si>
    <t xml:space="preserve">    - Chi Anh Trí - Cty Vinata</t>
  </si>
  <si>
    <t xml:space="preserve"> Lôïi nhuaän töø hoaït ñoäng xaây döïng</t>
  </si>
  <si>
    <t xml:space="preserve">    KEÁT QUAÛ HOAÏT ÑOÄNG KINH DOANH DMC THAÙNG 9 - 2014</t>
  </si>
  <si>
    <t xml:space="preserve">    KEÁT QUAÛ HOAÏT ÑOÄNG KINH DOANH DMC THAÙNG 10 - 2014</t>
  </si>
  <si>
    <t xml:space="preserve">    KEÁT QUAÛ HOAÏT ÑOÄNG KINH DOANH DMC THAÙNG 11 - 2014</t>
  </si>
  <si>
    <t xml:space="preserve">    KEÁT QUAÛ HOAÏT ÑOÄNG KINH DOANH DMC THAÙNG 12 - 2014</t>
  </si>
  <si>
    <t xml:space="preserve">    KEÁT QUAÛ HOAÏT ÑOÄNG KINH DOANH CHO THUEÂ VAÊN PHOØNG COÂNG TY ĐĂNG MINH</t>
  </si>
  <si>
    <t>II. TOÅNG CHI PHÍ (4+5+6+7+8+9)</t>
  </si>
  <si>
    <t>4. Chi phí taøi chính</t>
  </si>
  <si>
    <t>5. Chi phí vaên phoøng Mieáu Noåi</t>
  </si>
  <si>
    <t>6. Chi phí vaên phoøng Ñieän Bieân Phuû</t>
  </si>
  <si>
    <t>7. Chi phí truï sôû</t>
  </si>
  <si>
    <t>8. Chi phí lương</t>
  </si>
  <si>
    <t>9. Chi phí xaây döïng</t>
  </si>
  <si>
    <t>10. Chi phí khaùc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</si>
</sst>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.00_-;\-* #,##0.00_-;_-* &quot;-&quot;??_-;_-@_-"/>
    <numFmt numFmtId="166" formatCode="_-* #,##0_-;\-* #,##0_-;_-* &quot;-&quot;_-;_-@_-"/>
    <numFmt numFmtId="167" formatCode="_-* #,##0\ _$_-;\-* #,##0\ _$_-;_-* &quot;-&quot;??\ _$_-;_-@_-"/>
    <numFmt numFmtId="168" formatCode="0.0"/>
    <numFmt numFmtId="169" formatCode="_(* #,##0.00000000_);_(* \(#,##0.00000000\);_(* &quot;-&quot;??_);_(@_)"/>
    <numFmt numFmtId="170" formatCode="_(* #,##0.00000_);_(* \(#,##0.00000\);_(* &quot;-&quot;??_);_(@_)"/>
    <numFmt numFmtId="171" formatCode="_ * #,##0_ ;_ * \-#,##0_ ;_ * &quot;-&quot;_ ;_ @_ "/>
    <numFmt numFmtId="172" formatCode="0.000"/>
    <numFmt numFmtId="173" formatCode="_ * #,##0.00_ ;_ * \-#,##0.00_ ;_ * &quot;-&quot;??_ ;_ @_ "/>
    <numFmt numFmtId="174" formatCode="\$#,##0\ ;\(\$#,##0\)"/>
    <numFmt numFmtId="175" formatCode="0.00_)"/>
    <numFmt numFmtId="176" formatCode="0\ \ \ \ "/>
    <numFmt numFmtId="177" formatCode="&quot;\&quot;#,##0;[Red]&quot;\&quot;&quot;\&quot;\-#,##0"/>
    <numFmt numFmtId="178" formatCode="&quot;\&quot;#,##0.00;[Red]&quot;\&quot;&quot;\&quot;&quot;\&quot;&quot;\&quot;&quot;\&quot;&quot;\&quot;\-#,##0.00"/>
    <numFmt numFmtId="179" formatCode="&quot;\&quot;#,##0.00;[Red]&quot;\&quot;\-#,##0.00"/>
    <numFmt numFmtId="180" formatCode="&quot;\&quot;#,##0;[Red]&quot;\&quot;\-#,##0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NI-Times"/>
    </font>
    <font>
      <sz val="12"/>
      <name val="VNI-Times"/>
    </font>
    <font>
      <sz val="12"/>
      <name val="¹ÙÅÁÃ¼"/>
      <charset val="129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1"/>
      <name val="VNI-Times"/>
    </font>
    <font>
      <sz val="10"/>
      <name val="Arial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</font>
    <font>
      <b/>
      <i/>
      <sz val="16"/>
      <name val="Helv"/>
    </font>
    <font>
      <sz val="10"/>
      <name val="VNI-Helve-Condense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0"/>
      <name val="VNI-Times"/>
    </font>
    <font>
      <sz val="10"/>
      <name val="VNI-Helve"/>
    </font>
    <font>
      <sz val="10"/>
      <name val="Arial"/>
      <family val="2"/>
    </font>
    <font>
      <b/>
      <sz val="10"/>
      <color indexed="10"/>
      <name val="VNI-Times"/>
    </font>
    <font>
      <b/>
      <sz val="10"/>
      <color indexed="12"/>
      <name val="VNI-Times"/>
    </font>
    <font>
      <b/>
      <sz val="11"/>
      <color indexed="10"/>
      <name val="VNI-Times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VNI-Times"/>
    </font>
    <font>
      <sz val="10"/>
      <color indexed="10"/>
      <name val="Arial"/>
      <family val="2"/>
    </font>
    <font>
      <b/>
      <sz val="10"/>
      <color indexed="16"/>
      <name val="VNI-Times"/>
    </font>
    <font>
      <b/>
      <sz val="10"/>
      <name val="Arial"/>
      <family val="2"/>
    </font>
    <font>
      <b/>
      <sz val="10"/>
      <name val="Arial"/>
      <family val="2"/>
    </font>
    <font>
      <b/>
      <sz val="16"/>
      <color indexed="12"/>
      <name val="VNI-Times"/>
    </font>
    <font>
      <b/>
      <sz val="10"/>
      <name val="VNI Times"/>
    </font>
    <font>
      <sz val="8"/>
      <color indexed="81"/>
      <name val="Tahoma"/>
    </font>
    <font>
      <b/>
      <sz val="8"/>
      <color indexed="81"/>
      <name val="Tahoma"/>
    </font>
    <font>
      <b/>
      <sz val="20"/>
      <color indexed="12"/>
      <name val="VNI-Times"/>
    </font>
    <font>
      <b/>
      <sz val="14"/>
      <color indexed="12"/>
      <name val="VNI-Times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3">
    <xf numFmtId="0" fontId="0" fillId="0" borderId="0"/>
    <xf numFmtId="164" fontId="5" fillId="0" borderId="0" applyFont="0" applyFill="0" applyBorder="0" applyAlignment="0" applyProtection="0"/>
    <xf numFmtId="42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1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167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2" fillId="3" borderId="0" applyNumberFormat="0" applyBorder="0" applyAlignment="0" applyProtection="0"/>
    <xf numFmtId="0" fontId="8" fillId="0" borderId="0"/>
    <xf numFmtId="0" fontId="7" fillId="0" borderId="0"/>
    <xf numFmtId="0" fontId="8" fillId="0" borderId="0"/>
    <xf numFmtId="0" fontId="33" fillId="20" borderId="1" applyNumberFormat="0" applyAlignment="0" applyProtection="0"/>
    <xf numFmtId="0" fontId="9" fillId="0" borderId="0"/>
    <xf numFmtId="0" fontId="34" fillId="21" borderId="2" applyNumberFormat="0" applyAlignment="0" applyProtection="0"/>
    <xf numFmtId="43" fontId="3" fillId="0" borderId="0" applyFont="0" applyFill="0" applyBorder="0" applyAlignment="0" applyProtection="0"/>
    <xf numFmtId="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1" fillId="0" borderId="0" applyFont="0" applyFill="0" applyBorder="0" applyAlignment="0" applyProtection="0"/>
    <xf numFmtId="0" fontId="36" fillId="4" borderId="0" applyNumberFormat="0" applyBorder="0" applyAlignment="0" applyProtection="0"/>
    <xf numFmtId="38" fontId="12" fillId="22" borderId="0" applyNumberFormat="0" applyBorder="0" applyAlignment="0" applyProtection="0"/>
    <xf numFmtId="0" fontId="13" fillId="0" borderId="0">
      <alignment horizontal="left"/>
    </xf>
    <xf numFmtId="0" fontId="14" fillId="0" borderId="3" applyNumberFormat="0" applyAlignment="0" applyProtection="0">
      <alignment horizontal="left" vertical="center"/>
    </xf>
    <xf numFmtId="0" fontId="14" fillId="0" borderId="4">
      <alignment horizontal="left" vertical="center"/>
    </xf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41" fontId="4" fillId="0" borderId="0" applyFont="0" applyFill="0" applyBorder="0" applyAlignment="0" applyProtection="0"/>
    <xf numFmtId="0" fontId="38" fillId="7" borderId="1" applyNumberFormat="0" applyAlignment="0" applyProtection="0"/>
    <xf numFmtId="10" fontId="12" fillId="22" borderId="6" applyNumberFormat="0" applyBorder="0" applyAlignment="0" applyProtection="0"/>
    <xf numFmtId="0" fontId="39" fillId="0" borderId="7" applyNumberFormat="0" applyFill="0" applyAlignment="0" applyProtection="0"/>
    <xf numFmtId="0" fontId="16" fillId="0" borderId="8"/>
    <xf numFmtId="0" fontId="40" fillId="23" borderId="0" applyNumberFormat="0" applyBorder="0" applyAlignment="0" applyProtection="0"/>
    <xf numFmtId="175" fontId="17" fillId="0" borderId="0"/>
    <xf numFmtId="14" fontId="10" fillId="0" borderId="0"/>
    <xf numFmtId="0" fontId="30" fillId="24" borderId="9" applyNumberFormat="0" applyFont="0" applyAlignment="0" applyProtection="0"/>
    <xf numFmtId="0" fontId="41" fillId="20" borderId="10" applyNumberFormat="0" applyAlignment="0" applyProtection="0"/>
    <xf numFmtId="10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16" fillId="0" borderId="0"/>
    <xf numFmtId="0" fontId="42" fillId="0" borderId="0" applyNumberFormat="0" applyFill="0" applyBorder="0" applyAlignment="0" applyProtection="0"/>
    <xf numFmtId="0" fontId="11" fillId="0" borderId="11" applyNumberFormat="0" applyFont="0" applyFill="0" applyAlignment="0" applyProtection="0"/>
    <xf numFmtId="176" fontId="18" fillId="0" borderId="0"/>
    <xf numFmtId="0" fontId="43" fillId="0" borderId="0" applyNumberForma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20" fillId="0" borderId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2" fillId="0" borderId="0"/>
    <xf numFmtId="0" fontId="2" fillId="0" borderId="0"/>
    <xf numFmtId="43" fontId="2" fillId="0" borderId="0" applyFont="0" applyFill="0" applyBorder="0" applyAlignment="0" applyProtection="0"/>
    <xf numFmtId="10" fontId="12" fillId="22" borderId="42" applyNumberFormat="0" applyBorder="0" applyAlignment="0" applyProtection="0"/>
    <xf numFmtId="0" fontId="38" fillId="7" borderId="40" applyNumberFormat="0" applyAlignment="0" applyProtection="0"/>
    <xf numFmtId="10" fontId="12" fillId="22" borderId="36" applyNumberFormat="0" applyBorder="0" applyAlignment="0" applyProtection="0"/>
    <xf numFmtId="0" fontId="38" fillId="7" borderId="34" applyNumberFormat="0" applyAlignment="0" applyProtection="0"/>
    <xf numFmtId="0" fontId="41" fillId="20" borderId="28" applyNumberFormat="0" applyAlignment="0" applyProtection="0"/>
    <xf numFmtId="0" fontId="30" fillId="24" borderId="27" applyNumberFormat="0" applyFont="0" applyAlignment="0" applyProtection="0"/>
    <xf numFmtId="0" fontId="14" fillId="0" borderId="41">
      <alignment horizontal="left" vertical="center"/>
    </xf>
    <xf numFmtId="0" fontId="14" fillId="0" borderId="35">
      <alignment horizontal="left" vertical="center"/>
    </xf>
    <xf numFmtId="10" fontId="12" fillId="22" borderId="26" applyNumberFormat="0" applyBorder="0" applyAlignment="0" applyProtection="0"/>
    <xf numFmtId="0" fontId="38" fillId="7" borderId="24" applyNumberFormat="0" applyAlignment="0" applyProtection="0"/>
    <xf numFmtId="2" fontId="3" fillId="0" borderId="0" applyFont="0" applyFill="0" applyBorder="0" applyAlignment="0" applyProtection="0"/>
    <xf numFmtId="0" fontId="14" fillId="0" borderId="25">
      <alignment horizontal="left" vertical="center"/>
    </xf>
    <xf numFmtId="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3" fillId="20" borderId="34" applyNumberFormat="0" applyAlignment="0" applyProtection="0"/>
    <xf numFmtId="0" fontId="33" fillId="20" borderId="24" applyNumberFormat="0" applyAlignment="0" applyProtection="0"/>
    <xf numFmtId="3" fontId="3" fillId="0" borderId="0" applyFont="0" applyFill="0" applyBorder="0" applyAlignment="0" applyProtection="0"/>
    <xf numFmtId="0" fontId="33" fillId="20" borderId="40" applyNumberFormat="0" applyAlignment="0" applyProtection="0"/>
    <xf numFmtId="0" fontId="33" fillId="20" borderId="29" applyNumberFormat="0" applyAlignment="0" applyProtection="0"/>
    <xf numFmtId="0" fontId="33" fillId="20" borderId="19" applyNumberFormat="0" applyAlignment="0" applyProtection="0"/>
    <xf numFmtId="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4" fillId="0" borderId="20">
      <alignment horizontal="left" vertical="center"/>
    </xf>
    <xf numFmtId="0" fontId="33" fillId="20" borderId="37" applyNumberFormat="0" applyAlignment="0" applyProtection="0"/>
    <xf numFmtId="0" fontId="14" fillId="0" borderId="30">
      <alignment horizontal="left" vertical="center"/>
    </xf>
    <xf numFmtId="0" fontId="38" fillId="7" borderId="19" applyNumberFormat="0" applyAlignment="0" applyProtection="0"/>
    <xf numFmtId="10" fontId="12" fillId="22" borderId="21" applyNumberFormat="0" applyBorder="0" applyAlignment="0" applyProtection="0"/>
    <xf numFmtId="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0" fillId="24" borderId="22" applyNumberFormat="0" applyFont="0" applyAlignment="0" applyProtection="0"/>
    <xf numFmtId="0" fontId="41" fillId="20" borderId="23" applyNumberFormat="0" applyAlignment="0" applyProtection="0"/>
    <xf numFmtId="0" fontId="38" fillId="7" borderId="29" applyNumberFormat="0" applyAlignment="0" applyProtection="0"/>
    <xf numFmtId="10" fontId="12" fillId="22" borderId="31" applyNumberFormat="0" applyBorder="0" applyAlignment="0" applyProtection="0"/>
    <xf numFmtId="2" fontId="3" fillId="0" borderId="0" applyFont="0" applyFill="0" applyBorder="0" applyAlignment="0" applyProtection="0"/>
    <xf numFmtId="0" fontId="30" fillId="24" borderId="32" applyNumberFormat="0" applyFont="0" applyAlignment="0" applyProtection="0"/>
    <xf numFmtId="0" fontId="3" fillId="0" borderId="11" applyNumberFormat="0" applyFont="0" applyFill="0" applyAlignment="0" applyProtection="0"/>
    <xf numFmtId="0" fontId="41" fillId="20" borderId="33" applyNumberFormat="0" applyAlignment="0" applyProtection="0"/>
    <xf numFmtId="0" fontId="38" fillId="7" borderId="37" applyNumberFormat="0" applyAlignment="0" applyProtection="0"/>
    <xf numFmtId="10" fontId="12" fillId="22" borderId="39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0" fillId="24" borderId="32" applyNumberFormat="0" applyFont="0" applyAlignment="0" applyProtection="0"/>
    <xf numFmtId="0" fontId="3" fillId="0" borderId="11" applyNumberFormat="0" applyFont="0" applyFill="0" applyAlignment="0" applyProtection="0"/>
    <xf numFmtId="0" fontId="41" fillId="20" borderId="33" applyNumberFormat="0" applyAlignment="0" applyProtection="0"/>
    <xf numFmtId="0" fontId="30" fillId="24" borderId="43" applyNumberFormat="0" applyFont="0" applyAlignment="0" applyProtection="0"/>
    <xf numFmtId="0" fontId="41" fillId="20" borderId="44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11" applyNumberFormat="0" applyFont="0" applyFill="0" applyAlignment="0" applyProtection="0"/>
    <xf numFmtId="0" fontId="30" fillId="24" borderId="32" applyNumberFormat="0" applyFont="0" applyAlignment="0" applyProtection="0"/>
    <xf numFmtId="0" fontId="41" fillId="20" borderId="33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4" fillId="0" borderId="38">
      <alignment horizontal="left" vertical="center"/>
    </xf>
    <xf numFmtId="0" fontId="3" fillId="0" borderId="11" applyNumberFormat="0" applyFon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11" applyNumberFormat="0" applyFont="0" applyFill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11" applyNumberFormat="0" applyFont="0" applyFill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3" fontId="23" fillId="0" borderId="0" xfId="87" applyNumberFormat="1" applyFont="1" applyProtection="1">
      <protection locked="0"/>
    </xf>
    <xf numFmtId="14" fontId="4" fillId="0" borderId="0" xfId="87" applyFont="1"/>
    <xf numFmtId="0" fontId="25" fillId="0" borderId="0" xfId="0" applyFont="1"/>
    <xf numFmtId="0" fontId="24" fillId="0" borderId="0" xfId="0" applyFont="1"/>
    <xf numFmtId="14" fontId="10" fillId="25" borderId="0" xfId="87" applyFont="1" applyFill="1"/>
    <xf numFmtId="0" fontId="29" fillId="25" borderId="0" xfId="0" applyFont="1" applyFill="1"/>
    <xf numFmtId="0" fontId="3" fillId="0" borderId="0" xfId="0" applyFont="1"/>
    <xf numFmtId="14" fontId="4" fillId="0" borderId="0" xfId="87" applyFont="1" applyFill="1"/>
    <xf numFmtId="14" fontId="46" fillId="0" borderId="0" xfId="87" applyFont="1"/>
    <xf numFmtId="0" fontId="47" fillId="0" borderId="0" xfId="0" applyFont="1"/>
    <xf numFmtId="3" fontId="48" fillId="25" borderId="6" xfId="87" applyNumberFormat="1" applyFont="1" applyFill="1" applyBorder="1" applyAlignment="1" applyProtection="1">
      <alignment horizontal="center" vertical="center" wrapText="1"/>
      <protection locked="0"/>
    </xf>
    <xf numFmtId="3" fontId="48" fillId="25" borderId="12" xfId="87" applyNumberFormat="1" applyFont="1" applyFill="1" applyBorder="1" applyAlignment="1" applyProtection="1">
      <alignment horizontal="center" vertical="center" wrapText="1"/>
      <protection locked="0"/>
    </xf>
    <xf numFmtId="2" fontId="25" fillId="0" borderId="0" xfId="0" applyNumberFormat="1" applyFont="1"/>
    <xf numFmtId="2" fontId="3" fillId="0" borderId="0" xfId="0" applyNumberFormat="1" applyFont="1" applyFill="1"/>
    <xf numFmtId="14" fontId="23" fillId="0" borderId="0" xfId="87" applyFont="1"/>
    <xf numFmtId="0" fontId="50" fillId="0" borderId="0" xfId="0" applyFont="1"/>
    <xf numFmtId="3" fontId="4" fillId="0" borderId="15" xfId="87" applyNumberFormat="1" applyFont="1" applyBorder="1" applyProtection="1">
      <protection locked="0"/>
    </xf>
    <xf numFmtId="3" fontId="4" fillId="0" borderId="15" xfId="87" applyNumberFormat="1" applyFont="1" applyFill="1" applyBorder="1" applyProtection="1">
      <protection locked="0"/>
    </xf>
    <xf numFmtId="3" fontId="26" fillId="0" borderId="15" xfId="87" applyNumberFormat="1" applyFont="1" applyBorder="1" applyProtection="1">
      <protection locked="0"/>
    </xf>
    <xf numFmtId="0" fontId="3" fillId="0" borderId="15" xfId="0" applyFont="1" applyBorder="1"/>
    <xf numFmtId="14" fontId="10" fillId="0" borderId="0" xfId="87" applyFont="1" applyFill="1"/>
    <xf numFmtId="3" fontId="48" fillId="25" borderId="12" xfId="87" applyNumberFormat="1" applyFont="1" applyFill="1" applyBorder="1" applyAlignment="1" applyProtection="1">
      <alignment horizontal="center" vertical="center" wrapText="1"/>
      <protection locked="0"/>
    </xf>
    <xf numFmtId="0" fontId="49" fillId="0" borderId="0" xfId="0" applyFont="1"/>
    <xf numFmtId="3" fontId="27" fillId="0" borderId="14" xfId="87" applyNumberFormat="1" applyFont="1" applyFill="1" applyBorder="1" applyAlignment="1" applyProtection="1">
      <alignment horizontal="left" vertical="center" wrapText="1"/>
      <protection locked="0"/>
    </xf>
    <xf numFmtId="3" fontId="27" fillId="0" borderId="14" xfId="87" applyNumberFormat="1" applyFont="1" applyFill="1" applyBorder="1" applyAlignment="1" applyProtection="1">
      <alignment horizontal="right" vertical="center" wrapText="1"/>
      <protection locked="0"/>
    </xf>
    <xf numFmtId="3" fontId="26" fillId="0" borderId="15" xfId="65" applyNumberFormat="1" applyFont="1" applyBorder="1" applyProtection="1">
      <protection hidden="1"/>
    </xf>
    <xf numFmtId="3" fontId="23" fillId="0" borderId="15" xfId="87" applyNumberFormat="1" applyFont="1" applyBorder="1" applyProtection="1">
      <protection locked="0"/>
    </xf>
    <xf numFmtId="3" fontId="26" fillId="0" borderId="15" xfId="65" applyNumberFormat="1" applyFont="1" applyFill="1" applyBorder="1" applyProtection="1">
      <protection hidden="1"/>
    </xf>
    <xf numFmtId="0" fontId="47" fillId="0" borderId="15" xfId="0" applyFont="1" applyBorder="1"/>
    <xf numFmtId="3" fontId="4" fillId="0" borderId="16" xfId="87" applyNumberFormat="1" applyFont="1" applyBorder="1" applyProtection="1">
      <protection locked="0"/>
    </xf>
    <xf numFmtId="3" fontId="28" fillId="26" borderId="13" xfId="87" applyNumberFormat="1" applyFont="1" applyFill="1" applyBorder="1" applyAlignment="1" applyProtection="1">
      <protection locked="0"/>
    </xf>
    <xf numFmtId="3" fontId="4" fillId="0" borderId="17" xfId="87" applyNumberFormat="1" applyFont="1" applyBorder="1" applyProtection="1">
      <protection locked="0"/>
    </xf>
    <xf numFmtId="3" fontId="48" fillId="25" borderId="13" xfId="87" applyNumberFormat="1" applyFont="1" applyFill="1" applyBorder="1" applyAlignment="1" applyProtection="1">
      <alignment horizontal="center" vertical="center" wrapText="1"/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4" fillId="0" borderId="18" xfId="87" applyNumberFormat="1" applyFont="1" applyBorder="1" applyProtection="1">
      <protection locked="0"/>
    </xf>
    <xf numFmtId="3" fontId="26" fillId="26" borderId="16" xfId="65" applyNumberFormat="1" applyFont="1" applyFill="1" applyBorder="1" applyProtection="1">
      <protection hidden="1"/>
    </xf>
    <xf numFmtId="3" fontId="26" fillId="26" borderId="16" xfId="87" applyNumberFormat="1" applyFont="1" applyFill="1" applyBorder="1" applyAlignment="1" applyProtection="1">
      <alignment horizontal="center"/>
      <protection locked="0"/>
    </xf>
    <xf numFmtId="41" fontId="3" fillId="0" borderId="0" xfId="0" applyNumberFormat="1" applyFont="1"/>
    <xf numFmtId="3" fontId="48" fillId="25" borderId="12" xfId="87" applyNumberFormat="1" applyFont="1" applyFill="1" applyBorder="1" applyAlignment="1" applyProtection="1">
      <alignment horizontal="center" vertical="center" wrapText="1"/>
      <protection locked="0"/>
    </xf>
    <xf numFmtId="3" fontId="27" fillId="0" borderId="18" xfId="87" applyNumberFormat="1" applyFont="1" applyFill="1" applyBorder="1" applyAlignment="1" applyProtection="1">
      <alignment horizontal="left" vertical="center" wrapText="1"/>
      <protection locked="0"/>
    </xf>
    <xf numFmtId="3" fontId="27" fillId="0" borderId="18" xfId="87" applyNumberFormat="1" applyFont="1" applyFill="1" applyBorder="1" applyAlignment="1" applyProtection="1">
      <alignment horizontal="right" vertical="center" wrapText="1"/>
      <protection locked="0"/>
    </xf>
    <xf numFmtId="3" fontId="27" fillId="0" borderId="18" xfId="65" applyNumberFormat="1" applyFont="1" applyBorder="1" applyAlignment="1" applyProtection="1">
      <alignment horizontal="right"/>
      <protection hidden="1"/>
    </xf>
    <xf numFmtId="0" fontId="25" fillId="0" borderId="15" xfId="0" applyFont="1" applyBorder="1"/>
    <xf numFmtId="0" fontId="25" fillId="0" borderId="16" xfId="0" applyFont="1" applyBorder="1"/>
    <xf numFmtId="14" fontId="46" fillId="0" borderId="0" xfId="87" applyFont="1" applyFill="1"/>
    <xf numFmtId="0" fontId="25" fillId="0" borderId="0" xfId="0" applyFont="1" applyFill="1"/>
    <xf numFmtId="3" fontId="23" fillId="0" borderId="0" xfId="87" applyNumberFormat="1" applyFont="1" applyFill="1" applyBorder="1" applyAlignment="1" applyProtection="1">
      <alignment horizontal="center"/>
      <protection locked="0"/>
    </xf>
    <xf numFmtId="0" fontId="52" fillId="0" borderId="0" xfId="0" applyFont="1" applyAlignment="1">
      <alignment horizontal="center"/>
    </xf>
    <xf numFmtId="3" fontId="4" fillId="0" borderId="45" xfId="87" applyNumberFormat="1" applyFont="1" applyBorder="1" applyProtection="1"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4" fillId="0" borderId="45" xfId="87" applyNumberFormat="1" applyFont="1" applyFill="1" applyBorder="1" applyProtection="1">
      <protection locked="0"/>
    </xf>
    <xf numFmtId="3" fontId="26" fillId="0" borderId="45" xfId="87" applyNumberFormat="1" applyFont="1" applyBorder="1" applyProtection="1">
      <protection locked="0"/>
    </xf>
    <xf numFmtId="0" fontId="3" fillId="0" borderId="45" xfId="0" applyFont="1" applyFill="1" applyBorder="1"/>
    <xf numFmtId="3" fontId="26" fillId="0" borderId="45" xfId="87" applyNumberFormat="1" applyFont="1" applyFill="1" applyBorder="1" applyProtection="1"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4" fillId="0" borderId="46" xfId="87" applyNumberFormat="1" applyFont="1" applyBorder="1" applyProtection="1">
      <protection locked="0"/>
    </xf>
    <xf numFmtId="3" fontId="24" fillId="0" borderId="45" xfId="0" applyNumberFormat="1" applyFont="1" applyFill="1" applyBorder="1"/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4" fillId="0" borderId="45" xfId="87" applyNumberFormat="1" applyFont="1" applyFill="1" applyBorder="1" applyAlignment="1" applyProtection="1">
      <alignment horizontal="right"/>
      <protection locked="0"/>
    </xf>
    <xf numFmtId="3" fontId="26" fillId="0" borderId="45" xfId="65" applyNumberFormat="1" applyFont="1" applyBorder="1" applyProtection="1">
      <protection hidden="1"/>
    </xf>
    <xf numFmtId="3" fontId="4" fillId="0" borderId="45" xfId="87" applyNumberFormat="1" applyFont="1" applyBorder="1" applyAlignment="1" applyProtection="1">
      <alignment horizontal="right"/>
      <protection locked="0"/>
    </xf>
    <xf numFmtId="3" fontId="4" fillId="0" borderId="45" xfId="65" applyNumberFormat="1" applyFont="1" applyFill="1" applyBorder="1" applyProtection="1">
      <protection hidden="1"/>
    </xf>
    <xf numFmtId="3" fontId="4" fillId="0" borderId="45" xfId="65" applyNumberFormat="1" applyFont="1" applyBorder="1" applyProtection="1">
      <protection hidden="1"/>
    </xf>
    <xf numFmtId="3" fontId="26" fillId="0" borderId="45" xfId="87" applyNumberFormat="1" applyFont="1" applyFill="1" applyBorder="1" applyAlignment="1" applyProtection="1">
      <alignment horizontal="right"/>
      <protection locked="0"/>
    </xf>
    <xf numFmtId="3" fontId="4" fillId="0" borderId="45" xfId="87" applyNumberFormat="1" applyFont="1" applyBorder="1" applyAlignment="1" applyProtection="1">
      <protection locked="0"/>
    </xf>
    <xf numFmtId="3" fontId="4" fillId="0" borderId="45" xfId="87" applyNumberFormat="1" applyFont="1" applyFill="1" applyBorder="1" applyAlignment="1" applyProtection="1"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4" fillId="0" borderId="45" xfId="65" applyNumberFormat="1" applyFont="1" applyFill="1" applyBorder="1" applyProtection="1">
      <protection locked="0"/>
    </xf>
    <xf numFmtId="3" fontId="26" fillId="0" borderId="45" xfId="65" applyNumberFormat="1" applyFont="1" applyFill="1" applyBorder="1" applyProtection="1">
      <protection hidden="1"/>
    </xf>
    <xf numFmtId="14" fontId="4" fillId="25" borderId="0" xfId="87" applyFont="1" applyFill="1"/>
    <xf numFmtId="3" fontId="48" fillId="25" borderId="42" xfId="87" applyNumberFormat="1" applyFont="1" applyFill="1" applyBorder="1" applyAlignment="1" applyProtection="1">
      <alignment horizontal="center" vertical="center" wrapText="1"/>
      <protection locked="0"/>
    </xf>
    <xf numFmtId="3" fontId="48" fillId="25" borderId="47" xfId="87" applyNumberFormat="1" applyFont="1" applyFill="1" applyBorder="1" applyAlignment="1" applyProtection="1">
      <alignment horizontal="center" vertical="center" wrapText="1"/>
      <protection locked="0"/>
    </xf>
    <xf numFmtId="3" fontId="27" fillId="0" borderId="48" xfId="87" applyNumberFormat="1" applyFont="1" applyFill="1" applyBorder="1" applyAlignment="1" applyProtection="1">
      <alignment horizontal="left" vertical="center" wrapText="1"/>
      <protection locked="0"/>
    </xf>
    <xf numFmtId="3" fontId="27" fillId="0" borderId="48" xfId="87" applyNumberFormat="1" applyFont="1" applyFill="1" applyBorder="1" applyAlignment="1" applyProtection="1">
      <alignment horizontal="right" vertical="center" wrapText="1"/>
      <protection locked="0"/>
    </xf>
    <xf numFmtId="3" fontId="27" fillId="25" borderId="48" xfId="87" applyNumberFormat="1" applyFont="1" applyFill="1" applyBorder="1" applyAlignment="1" applyProtection="1">
      <alignment horizontal="right" vertical="center" wrapText="1"/>
      <protection locked="0"/>
    </xf>
    <xf numFmtId="3" fontId="26" fillId="25" borderId="45" xfId="87" applyNumberFormat="1" applyFont="1" applyFill="1" applyBorder="1" applyProtection="1">
      <protection locked="0"/>
    </xf>
    <xf numFmtId="3" fontId="4" fillId="25" borderId="45" xfId="87" applyNumberFormat="1" applyFont="1" applyFill="1" applyBorder="1" applyProtection="1">
      <protection locked="0"/>
    </xf>
    <xf numFmtId="3" fontId="27" fillId="0" borderId="45" xfId="87" applyNumberFormat="1" applyFont="1" applyFill="1" applyBorder="1" applyAlignment="1" applyProtection="1">
      <alignment horizontal="left" vertical="center" wrapText="1"/>
      <protection locked="0"/>
    </xf>
    <xf numFmtId="3" fontId="27" fillId="0" borderId="45" xfId="65" applyNumberFormat="1" applyFont="1" applyBorder="1" applyAlignment="1" applyProtection="1">
      <alignment horizontal="right"/>
      <protection hidden="1"/>
    </xf>
    <xf numFmtId="3" fontId="27" fillId="0" borderId="45" xfId="65" applyNumberFormat="1" applyFont="1" applyFill="1" applyBorder="1" applyAlignment="1" applyProtection="1">
      <alignment horizontal="right"/>
      <protection hidden="1"/>
    </xf>
    <xf numFmtId="3" fontId="27" fillId="25" borderId="45" xfId="65" applyNumberFormat="1" applyFont="1" applyFill="1" applyBorder="1" applyAlignment="1" applyProtection="1">
      <alignment horizontal="right"/>
      <protection hidden="1"/>
    </xf>
    <xf numFmtId="3" fontId="28" fillId="25" borderId="42" xfId="87" applyNumberFormat="1" applyFont="1" applyFill="1" applyBorder="1" applyProtection="1">
      <protection locked="0"/>
    </xf>
    <xf numFmtId="3" fontId="28" fillId="25" borderId="42" xfId="65" applyNumberFormat="1" applyFont="1" applyFill="1" applyBorder="1" applyProtection="1">
      <protection hidden="1"/>
    </xf>
    <xf numFmtId="0" fontId="3" fillId="25" borderId="0" xfId="0" applyFont="1" applyFill="1"/>
    <xf numFmtId="3" fontId="48" fillId="0" borderId="0" xfId="87" applyNumberFormat="1" applyFont="1" applyFill="1" applyBorder="1" applyAlignment="1" applyProtection="1">
      <alignment horizontal="center" vertical="center" wrapText="1"/>
      <protection locked="0"/>
    </xf>
    <xf numFmtId="3" fontId="48" fillId="25" borderId="52" xfId="87" applyNumberFormat="1" applyFont="1" applyFill="1" applyBorder="1" applyAlignment="1" applyProtection="1">
      <alignment horizontal="center" vertical="center" wrapText="1"/>
      <protection locked="0"/>
    </xf>
    <xf numFmtId="3" fontId="26" fillId="25" borderId="42" xfId="87" applyNumberFormat="1" applyFont="1" applyFill="1" applyBorder="1" applyAlignment="1" applyProtection="1">
      <alignment horizontal="center" vertical="center" wrapText="1"/>
      <protection locked="0"/>
    </xf>
    <xf numFmtId="3" fontId="26" fillId="25" borderId="42" xfId="87" quotePrefix="1" applyNumberFormat="1" applyFont="1" applyFill="1" applyBorder="1" applyAlignment="1" applyProtection="1">
      <alignment horizontal="center" vertical="center" wrapText="1"/>
      <protection locked="0"/>
    </xf>
    <xf numFmtId="3" fontId="26" fillId="0" borderId="0" xfId="87" quotePrefix="1" applyNumberFormat="1" applyFont="1" applyFill="1" applyBorder="1" applyAlignment="1" applyProtection="1">
      <alignment horizontal="center" vertical="center" wrapText="1"/>
      <protection locked="0"/>
    </xf>
    <xf numFmtId="3" fontId="27" fillId="0" borderId="48" xfId="87" applyNumberFormat="1" applyFont="1" applyFill="1" applyBorder="1" applyAlignment="1" applyProtection="1">
      <alignment vertical="center" wrapText="1"/>
      <protection locked="0"/>
    </xf>
    <xf numFmtId="3" fontId="27" fillId="25" borderId="48" xfId="87" applyNumberFormat="1" applyFont="1" applyFill="1" applyBorder="1" applyAlignment="1" applyProtection="1">
      <alignment vertical="center" wrapText="1"/>
      <protection locked="0"/>
    </xf>
    <xf numFmtId="3" fontId="27" fillId="0" borderId="0" xfId="87" applyNumberFormat="1" applyFont="1" applyFill="1" applyBorder="1" applyAlignment="1" applyProtection="1">
      <alignment vertical="center" wrapText="1"/>
      <protection locked="0"/>
    </xf>
    <xf numFmtId="3" fontId="4" fillId="0" borderId="0" xfId="87" applyNumberFormat="1" applyFont="1" applyFill="1" applyBorder="1" applyProtection="1">
      <protection locked="0"/>
    </xf>
    <xf numFmtId="3" fontId="27" fillId="0" borderId="0" xfId="65" applyNumberFormat="1" applyFont="1" applyFill="1" applyBorder="1" applyAlignment="1" applyProtection="1">
      <alignment horizontal="right"/>
      <protection hidden="1"/>
    </xf>
    <xf numFmtId="0" fontId="3" fillId="0" borderId="0" xfId="0" applyFont="1" applyFill="1" applyBorder="1"/>
    <xf numFmtId="3" fontId="24" fillId="0" borderId="45" xfId="0" applyNumberFormat="1" applyFont="1" applyBorder="1"/>
    <xf numFmtId="3" fontId="28" fillId="0" borderId="0" xfId="65" applyNumberFormat="1" applyFont="1" applyFill="1" applyBorder="1" applyProtection="1">
      <protection hidden="1"/>
    </xf>
    <xf numFmtId="0" fontId="3" fillId="0" borderId="0" xfId="0" applyFont="1" applyFill="1"/>
    <xf numFmtId="3" fontId="26" fillId="25" borderId="42" xfId="87" applyNumberFormat="1" applyFont="1" applyFill="1" applyBorder="1" applyProtection="1">
      <protection locked="0"/>
    </xf>
    <xf numFmtId="3" fontId="26" fillId="25" borderId="42" xfId="65" applyNumberFormat="1" applyFont="1" applyFill="1" applyBorder="1" applyProtection="1">
      <protection hidden="1"/>
    </xf>
    <xf numFmtId="3" fontId="56" fillId="0" borderId="0" xfId="87" applyNumberFormat="1" applyFont="1" applyFill="1" applyAlignment="1" applyProtection="1">
      <alignment horizontal="center" vertical="center" wrapText="1"/>
      <protection locked="0"/>
    </xf>
    <xf numFmtId="0" fontId="24" fillId="0" borderId="0" xfId="0" applyFont="1" applyFill="1"/>
    <xf numFmtId="3" fontId="24" fillId="0" borderId="0" xfId="0" applyNumberFormat="1" applyFont="1" applyFill="1"/>
    <xf numFmtId="3" fontId="23" fillId="0" borderId="0" xfId="87" applyNumberFormat="1" applyFont="1" applyFill="1" applyProtection="1">
      <protection locked="0"/>
    </xf>
    <xf numFmtId="3" fontId="4" fillId="0" borderId="0" xfId="87" applyNumberFormat="1" applyFont="1" applyFill="1" applyProtection="1">
      <protection locked="0"/>
    </xf>
    <xf numFmtId="3" fontId="4" fillId="0" borderId="45" xfId="65" applyNumberFormat="1" applyFont="1" applyFill="1" applyBorder="1" applyAlignment="1" applyProtection="1">
      <alignment wrapText="1"/>
      <protection hidden="1"/>
    </xf>
    <xf numFmtId="3" fontId="23" fillId="0" borderId="45" xfId="87" applyNumberFormat="1" applyFont="1" applyBorder="1" applyProtection="1">
      <protection locked="0"/>
    </xf>
    <xf numFmtId="3" fontId="23" fillId="25" borderId="45" xfId="87" applyNumberFormat="1" applyFont="1" applyFill="1" applyBorder="1" applyProtection="1">
      <protection locked="0"/>
    </xf>
    <xf numFmtId="3" fontId="4" fillId="0" borderId="45" xfId="65" applyNumberFormat="1" applyFont="1" applyBorder="1" applyProtection="1">
      <protection locked="0"/>
    </xf>
    <xf numFmtId="3" fontId="23" fillId="0" borderId="45" xfId="87" applyNumberFormat="1" applyFont="1" applyFill="1" applyBorder="1" applyProtection="1">
      <protection locked="0"/>
    </xf>
    <xf numFmtId="3" fontId="48" fillId="25" borderId="49" xfId="87" applyNumberFormat="1" applyFont="1" applyFill="1" applyBorder="1" applyAlignment="1" applyProtection="1">
      <alignment horizontal="center" vertical="center" wrapText="1"/>
      <protection locked="0"/>
    </xf>
    <xf numFmtId="3" fontId="48" fillId="25" borderId="51" xfId="87" applyNumberFormat="1" applyFont="1" applyFill="1" applyBorder="1" applyAlignment="1" applyProtection="1">
      <alignment horizontal="center" vertical="center" wrapText="1"/>
      <protection locked="0"/>
    </xf>
    <xf numFmtId="3" fontId="48" fillId="0" borderId="0" xfId="87" applyNumberFormat="1" applyFont="1" applyFill="1" applyBorder="1" applyAlignment="1" applyProtection="1">
      <alignment horizontal="center" vertical="center" wrapText="1"/>
      <protection locked="0"/>
    </xf>
    <xf numFmtId="3" fontId="56" fillId="0" borderId="0" xfId="87" applyNumberFormat="1" applyFont="1" applyFill="1" applyAlignment="1" applyProtection="1">
      <alignment horizontal="center" vertical="center" wrapText="1"/>
      <protection locked="0"/>
    </xf>
    <xf numFmtId="3" fontId="55" fillId="0" borderId="0" xfId="87" applyNumberFormat="1" applyFont="1" applyFill="1" applyAlignment="1" applyProtection="1">
      <alignment horizontal="center" vertical="center" wrapText="1"/>
      <protection locked="0"/>
    </xf>
    <xf numFmtId="3" fontId="48" fillId="25" borderId="47" xfId="87" applyNumberFormat="1" applyFont="1" applyFill="1" applyBorder="1" applyAlignment="1" applyProtection="1">
      <alignment horizontal="center" vertical="center" wrapText="1"/>
      <protection locked="0"/>
    </xf>
    <xf numFmtId="3" fontId="48" fillId="25" borderId="50" xfId="87" applyNumberFormat="1" applyFont="1" applyFill="1" applyBorder="1" applyAlignment="1" applyProtection="1">
      <alignment horizontal="center" vertical="center" wrapText="1"/>
      <protection locked="0"/>
    </xf>
    <xf numFmtId="3" fontId="51" fillId="0" borderId="0" xfId="87" applyNumberFormat="1" applyFont="1" applyFill="1" applyAlignment="1" applyProtection="1">
      <alignment horizontal="center" vertical="center" wrapText="1"/>
      <protection locked="0"/>
    </xf>
    <xf numFmtId="3" fontId="28" fillId="26" borderId="13" xfId="87" applyNumberFormat="1" applyFont="1" applyFill="1" applyBorder="1" applyAlignment="1" applyProtection="1">
      <alignment horizontal="center"/>
      <protection locked="0"/>
    </xf>
  </cellXfs>
  <cellStyles count="193">
    <cellStyle name="_x0001_" xfId="1"/>
    <cellStyle name="_KT (2)" xfId="2"/>
    <cellStyle name="_KT (2)_1" xfId="3"/>
    <cellStyle name="_KT (2)_2" xfId="4"/>
    <cellStyle name="_KT (2)_2_TG-TH" xfId="5"/>
    <cellStyle name="_KT (2)_3" xfId="6"/>
    <cellStyle name="_KT (2)_3_TG-TH" xfId="7"/>
    <cellStyle name="_KT (2)_4" xfId="8"/>
    <cellStyle name="_KT (2)_4_TG-TH" xfId="9"/>
    <cellStyle name="_KT (2)_5" xfId="10"/>
    <cellStyle name="_KT (2)_TG-TH" xfId="11"/>
    <cellStyle name="_KT_TG" xfId="12"/>
    <cellStyle name="_KT_TG_1" xfId="13"/>
    <cellStyle name="_KT_TG_2" xfId="14"/>
    <cellStyle name="_KT_TG_3" xfId="15"/>
    <cellStyle name="_KT_TG_4" xfId="16"/>
    <cellStyle name="_TG-TH" xfId="17"/>
    <cellStyle name="_TG-TH_1" xfId="18"/>
    <cellStyle name="_TG-TH_2" xfId="19"/>
    <cellStyle name="_TG-TH_3" xfId="20"/>
    <cellStyle name="_TG-TH_4" xfId="21"/>
    <cellStyle name="¹éºÐÀ²_±âÅ¸" xfId="22"/>
    <cellStyle name="20% - Accent1" xfId="23" builtinId="30" customBuiltin="1"/>
    <cellStyle name="20% - Accent2" xfId="24" builtinId="34" customBuiltin="1"/>
    <cellStyle name="20% - Accent3" xfId="25" builtinId="38" customBuiltin="1"/>
    <cellStyle name="20% - Accent4" xfId="26" builtinId="42" customBuiltin="1"/>
    <cellStyle name="20% - Accent5" xfId="27" builtinId="46" customBuiltin="1"/>
    <cellStyle name="20% - Accent6" xfId="28" builtinId="50" customBuiltin="1"/>
    <cellStyle name="40% - Accent1" xfId="29" builtinId="31" customBuiltin="1"/>
    <cellStyle name="40% - Accent2" xfId="30" builtinId="35" customBuiltin="1"/>
    <cellStyle name="40% - Accent3" xfId="31" builtinId="39" customBuiltin="1"/>
    <cellStyle name="40% - Accent4" xfId="32" builtinId="43" customBuiltin="1"/>
    <cellStyle name="40% - Accent5" xfId="33" builtinId="47" customBuiltin="1"/>
    <cellStyle name="40% - Accent6" xfId="34" builtinId="51" customBuiltin="1"/>
    <cellStyle name="60% - Accent1" xfId="35" builtinId="32" customBuiltin="1"/>
    <cellStyle name="60% - Accent2" xfId="36" builtinId="36" customBuiltin="1"/>
    <cellStyle name="60% - Accent3" xfId="37" builtinId="40" customBuiltin="1"/>
    <cellStyle name="60% - Accent4" xfId="38" builtinId="44" customBuiltin="1"/>
    <cellStyle name="60% - Accent5" xfId="39" builtinId="48" customBuiltin="1"/>
    <cellStyle name="60% - Accent6" xfId="40" builtinId="52" customBuiltin="1"/>
    <cellStyle name="Accent1" xfId="41" builtinId="29" customBuiltin="1"/>
    <cellStyle name="Accent2" xfId="42" builtinId="33" customBuiltin="1"/>
    <cellStyle name="Accent3" xfId="43" builtinId="37" customBuiltin="1"/>
    <cellStyle name="Accent4" xfId="44" builtinId="41" customBuiltin="1"/>
    <cellStyle name="Accent5" xfId="45" builtinId="45" customBuiltin="1"/>
    <cellStyle name="Accent6" xfId="46" builtinId="49" customBuiltin="1"/>
    <cellStyle name="ÅëÈ­ [0]_±âÅ¸" xfId="47"/>
    <cellStyle name="ÅëÈ­_±âÅ¸" xfId="48"/>
    <cellStyle name="AeE­_INQUIRY ¿μ¾÷AßAø " xfId="49"/>
    <cellStyle name="ÅëÈ­_L601CPT" xfId="50"/>
    <cellStyle name="ÄÞ¸¶ [0]_±âÅ¸" xfId="51"/>
    <cellStyle name="AÞ¸¶ [0]_INQUIRY ¿μ¾÷AßAø " xfId="52"/>
    <cellStyle name="ÄÞ¸¶ [0]_L601CPT" xfId="53"/>
    <cellStyle name="ÄÞ¸¶_±âÅ¸" xfId="54"/>
    <cellStyle name="AÞ¸¶_INQUIRY ¿μ¾÷AßAø " xfId="55"/>
    <cellStyle name="ÄÞ¸¶_L601CPT" xfId="56"/>
    <cellStyle name="AutoFormat Options" xfId="57"/>
    <cellStyle name="Bad" xfId="58" builtinId="27" customBuiltin="1"/>
    <cellStyle name="Ç¥ÁØ_#2(M17)_1" xfId="59"/>
    <cellStyle name="C￥AØ_¿μ¾÷CoE² " xfId="60"/>
    <cellStyle name="Ç¥ÁØ_±¸¹Ì´ëÃ¥" xfId="61"/>
    <cellStyle name="Calculation" xfId="62" builtinId="22" customBuiltin="1"/>
    <cellStyle name="Calculation 2" xfId="141"/>
    <cellStyle name="Calculation 3" xfId="137"/>
    <cellStyle name="Calculation 4" xfId="140"/>
    <cellStyle name="Calculation 5" xfId="136"/>
    <cellStyle name="Calculation 6" xfId="151"/>
    <cellStyle name="Calculation 7" xfId="139"/>
    <cellStyle name="category" xfId="63"/>
    <cellStyle name="Check Cell" xfId="64" builtinId="23" customBuiltin="1"/>
    <cellStyle name="Comma" xfId="65" builtinId="3"/>
    <cellStyle name="Comma 2" xfId="113"/>
    <cellStyle name="Comma 2 2" xfId="169"/>
    <cellStyle name="Comma 2 3" xfId="176"/>
    <cellStyle name="Comma 2 4" xfId="181"/>
    <cellStyle name="Comma 2 5" xfId="185"/>
    <cellStyle name="Comma 2 6" xfId="189"/>
    <cellStyle name="Comma 2 7" xfId="192"/>
    <cellStyle name="Comma0" xfId="66"/>
    <cellStyle name="Comma0 2" xfId="142"/>
    <cellStyle name="Comma0 3" xfId="133"/>
    <cellStyle name="Comma0 4" xfId="145"/>
    <cellStyle name="Comma0 5" xfId="129"/>
    <cellStyle name="Comma0 6" xfId="155"/>
    <cellStyle name="Comma0 7" xfId="138"/>
    <cellStyle name="Currency0" xfId="67"/>
    <cellStyle name="Currency0 2" xfId="143"/>
    <cellStyle name="Currency0 3" xfId="132"/>
    <cellStyle name="Currency0 4" xfId="147"/>
    <cellStyle name="Currency0 5" xfId="128"/>
    <cellStyle name="Currency0 6" xfId="156"/>
    <cellStyle name="Currency0 7" xfId="135"/>
    <cellStyle name="Date" xfId="68"/>
    <cellStyle name="Date 2" xfId="144"/>
    <cellStyle name="Date 3" xfId="131"/>
    <cellStyle name="Date 4" xfId="148"/>
    <cellStyle name="Date 5" xfId="127"/>
    <cellStyle name="Date 6" xfId="157"/>
    <cellStyle name="Date 7" xfId="134"/>
    <cellStyle name="Explanatory Text" xfId="69" builtinId="53" customBuiltin="1"/>
    <cellStyle name="Fixed" xfId="70"/>
    <cellStyle name="Fixed 2" xfId="146"/>
    <cellStyle name="Fixed 3" xfId="130"/>
    <cellStyle name="Fixed 4" xfId="149"/>
    <cellStyle name="Fixed 5" xfId="124"/>
    <cellStyle name="Fixed 6" xfId="162"/>
    <cellStyle name="Fixed 7" xfId="126"/>
    <cellStyle name="Good" xfId="71" builtinId="26" customBuiltin="1"/>
    <cellStyle name="Grey" xfId="72"/>
    <cellStyle name="HEADER" xfId="73"/>
    <cellStyle name="Header1" xfId="74"/>
    <cellStyle name="Header2" xfId="75"/>
    <cellStyle name="Header2 2" xfId="150"/>
    <cellStyle name="Header2 3" xfId="125"/>
    <cellStyle name="Header2 4" xfId="152"/>
    <cellStyle name="Header2 5" xfId="121"/>
    <cellStyle name="Header2 6" xfId="182"/>
    <cellStyle name="Header2 7" xfId="120"/>
    <cellStyle name="Heading 1" xfId="76" builtinId="16" customBuiltin="1"/>
    <cellStyle name="Heading 2" xfId="77" builtinId="17" customBuiltin="1"/>
    <cellStyle name="Heading 3" xfId="78" builtinId="18" customBuiltin="1"/>
    <cellStyle name="Heading 4" xfId="79" builtinId="19" customBuiltin="1"/>
    <cellStyle name="i·0" xfId="80"/>
    <cellStyle name="Input" xfId="81" builtinId="20" customBuiltin="1"/>
    <cellStyle name="Input [yellow]" xfId="82"/>
    <cellStyle name="Input [yellow] 2" xfId="154"/>
    <cellStyle name="Input [yellow] 3" xfId="122"/>
    <cellStyle name="Input [yellow] 4" xfId="161"/>
    <cellStyle name="Input [yellow] 5" xfId="116"/>
    <cellStyle name="Input [yellow] 6" xfId="167"/>
    <cellStyle name="Input [yellow] 7" xfId="114"/>
    <cellStyle name="Input 2" xfId="153"/>
    <cellStyle name="Input 3" xfId="123"/>
    <cellStyle name="Input 4" xfId="160"/>
    <cellStyle name="Input 5" xfId="117"/>
    <cellStyle name="Input 6" xfId="166"/>
    <cellStyle name="Input 7" xfId="115"/>
    <cellStyle name="Linked Cell" xfId="83" builtinId="24" customBuiltin="1"/>
    <cellStyle name="Model" xfId="84"/>
    <cellStyle name="Neutral" xfId="85" builtinId="28" customBuiltin="1"/>
    <cellStyle name="Normal" xfId="0" builtinId="0"/>
    <cellStyle name="Normal - Style1" xfId="86"/>
    <cellStyle name="Normal 2" xfId="112"/>
    <cellStyle name="Normal 2 2" xfId="168"/>
    <cellStyle name="Normal 2 3" xfId="175"/>
    <cellStyle name="Normal 2 4" xfId="180"/>
    <cellStyle name="Normal 2 5" xfId="184"/>
    <cellStyle name="Normal 2 6" xfId="188"/>
    <cellStyle name="Normal 2 7" xfId="191"/>
    <cellStyle name="Normal 8" xfId="187"/>
    <cellStyle name="Normal_Sheet1" xfId="87"/>
    <cellStyle name="Note" xfId="88" builtinId="10" customBuiltin="1"/>
    <cellStyle name="Note 2" xfId="158"/>
    <cellStyle name="Note 3" xfId="119"/>
    <cellStyle name="Note 4" xfId="163"/>
    <cellStyle name="Note 5" xfId="170"/>
    <cellStyle name="Note 6" xfId="178"/>
    <cellStyle name="Note 7" xfId="173"/>
    <cellStyle name="Output" xfId="89" builtinId="21" customBuiltin="1"/>
    <cellStyle name="Output 2" xfId="159"/>
    <cellStyle name="Output 3" xfId="118"/>
    <cellStyle name="Output 4" xfId="165"/>
    <cellStyle name="Output 5" xfId="172"/>
    <cellStyle name="Output 6" xfId="179"/>
    <cellStyle name="Output 7" xfId="174"/>
    <cellStyle name="Percent [2]" xfId="90"/>
    <cellStyle name="S—_x0008_" xfId="91"/>
    <cellStyle name="Style 1" xfId="92"/>
    <cellStyle name="Style 2" xfId="93"/>
    <cellStyle name="Style 3" xfId="94"/>
    <cellStyle name="Style 4" xfId="95"/>
    <cellStyle name="subhead" xfId="96"/>
    <cellStyle name="Title" xfId="97" builtinId="15" customBuiltin="1"/>
    <cellStyle name="Total" xfId="98" builtinId="25" customBuiltin="1"/>
    <cellStyle name="Total 2" xfId="164"/>
    <cellStyle name="Total 3" xfId="171"/>
    <cellStyle name="Total 4" xfId="177"/>
    <cellStyle name="Total 5" xfId="183"/>
    <cellStyle name="Total 6" xfId="186"/>
    <cellStyle name="Total 7" xfId="190"/>
    <cellStyle name="viet" xfId="99"/>
    <cellStyle name="Warning Text" xfId="100" builtinId="11" customBuiltin="1"/>
    <cellStyle name="똿뗦먛귟 [0.00]_PRODUCT DETAIL Q1" xfId="101"/>
    <cellStyle name="똿뗦먛귟_PRODUCT DETAIL Q1" xfId="102"/>
    <cellStyle name="믅됞 [0.00]_PRODUCT DETAIL Q1" xfId="103"/>
    <cellStyle name="믅됞_PRODUCT DETAIL Q1" xfId="104"/>
    <cellStyle name="백분율_HOBONG" xfId="105"/>
    <cellStyle name="뷭?_BOOKSHIP" xfId="106"/>
    <cellStyle name="콤마 [0]_1202" xfId="107"/>
    <cellStyle name="콤마_1202" xfId="108"/>
    <cellStyle name="통화 [0]_1202" xfId="109"/>
    <cellStyle name="통화_1202" xfId="110"/>
    <cellStyle name="표준_(정보부문)월별인원계획" xfId="1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00"/>
      <color rgb="FF0000CC"/>
      <color rgb="FF00FFFF"/>
      <color rgb="FF0033CC"/>
      <color rgb="FF0000FF"/>
      <color rgb="FFFFFFFF"/>
      <color rgb="FF3366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O%20CAO%20NAM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IC KQKD-2014"/>
      <sheetName val="SCIC MONEY-2014"/>
      <sheetName val="Sheet7"/>
      <sheetName val="Sheet8"/>
      <sheetName val="Sheet9"/>
      <sheetName val="DMC KQKD-2014"/>
      <sheetName val="DMC MONEY-2014"/>
      <sheetName val="PT-01-14"/>
      <sheetName val="PT-02-14"/>
      <sheetName val="PT-03-14"/>
      <sheetName val="PT-04-14"/>
      <sheetName val="PT-05-14"/>
      <sheetName val="PT-06-14"/>
      <sheetName val="PT-07-14"/>
      <sheetName val="PT-08-14"/>
      <sheetName val="PT-09-14"/>
      <sheetName val="PT-10-14"/>
      <sheetName val="PT-11-14"/>
      <sheetName val="PT-12-14"/>
      <sheetName val="CP NUOC NGOAI"/>
      <sheetName val="X-Khau DMC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D35">
            <v>168648825</v>
          </cell>
          <cell r="E35">
            <v>17827455</v>
          </cell>
          <cell r="F35">
            <v>880000</v>
          </cell>
        </row>
        <row r="51">
          <cell r="D51">
            <v>497530568</v>
          </cell>
          <cell r="E51">
            <v>49276664</v>
          </cell>
          <cell r="G51">
            <v>7433800</v>
          </cell>
        </row>
      </sheetData>
      <sheetData sheetId="8">
        <row r="35">
          <cell r="D35">
            <v>168609595</v>
          </cell>
          <cell r="E35">
            <v>12665184</v>
          </cell>
          <cell r="F35">
            <v>880000</v>
          </cell>
        </row>
        <row r="51">
          <cell r="D51">
            <v>317596285</v>
          </cell>
          <cell r="E51">
            <v>49731644</v>
          </cell>
          <cell r="G51">
            <v>7926600</v>
          </cell>
        </row>
      </sheetData>
      <sheetData sheetId="9">
        <row r="35">
          <cell r="D35">
            <v>173094400</v>
          </cell>
          <cell r="E35">
            <v>12808982</v>
          </cell>
          <cell r="F35">
            <v>880000</v>
          </cell>
        </row>
        <row r="51">
          <cell r="D51">
            <v>315067010</v>
          </cell>
          <cell r="E51">
            <v>45755823</v>
          </cell>
          <cell r="G51">
            <v>7530600</v>
          </cell>
        </row>
      </sheetData>
      <sheetData sheetId="10">
        <row r="35">
          <cell r="D35">
            <v>159357696</v>
          </cell>
          <cell r="E35">
            <v>21519671</v>
          </cell>
          <cell r="F35">
            <v>880000</v>
          </cell>
        </row>
        <row r="53">
          <cell r="D53">
            <v>353396939</v>
          </cell>
          <cell r="E53">
            <v>76500022</v>
          </cell>
          <cell r="G53">
            <v>7537200</v>
          </cell>
        </row>
      </sheetData>
      <sheetData sheetId="11">
        <row r="36">
          <cell r="D36">
            <v>159218990</v>
          </cell>
          <cell r="E36">
            <v>24758760</v>
          </cell>
          <cell r="F36">
            <v>880000</v>
          </cell>
        </row>
        <row r="55">
          <cell r="D55">
            <v>686280084</v>
          </cell>
          <cell r="E55">
            <v>74446198</v>
          </cell>
          <cell r="G55">
            <v>12401400</v>
          </cell>
        </row>
      </sheetData>
      <sheetData sheetId="12">
        <row r="36">
          <cell r="D36">
            <v>171277529</v>
          </cell>
          <cell r="E36">
            <v>24719219</v>
          </cell>
          <cell r="F36">
            <v>880000</v>
          </cell>
        </row>
        <row r="54">
          <cell r="G54">
            <v>21439688</v>
          </cell>
        </row>
        <row r="55">
          <cell r="D55">
            <v>376041485</v>
          </cell>
          <cell r="E55">
            <v>90330077</v>
          </cell>
          <cell r="G55">
            <v>31922688</v>
          </cell>
        </row>
      </sheetData>
      <sheetData sheetId="13">
        <row r="36">
          <cell r="D36">
            <v>170062155</v>
          </cell>
          <cell r="E36">
            <v>25175786</v>
          </cell>
          <cell r="F36">
            <v>1320000</v>
          </cell>
        </row>
        <row r="55">
          <cell r="D55">
            <v>564756308</v>
          </cell>
          <cell r="E55">
            <v>82300542</v>
          </cell>
          <cell r="G55">
            <v>10608600</v>
          </cell>
        </row>
      </sheetData>
      <sheetData sheetId="14">
        <row r="36">
          <cell r="D36">
            <v>169151896</v>
          </cell>
          <cell r="E36">
            <v>25549664</v>
          </cell>
          <cell r="F36">
            <v>1320000</v>
          </cell>
          <cell r="G36">
            <v>4354657</v>
          </cell>
        </row>
        <row r="55">
          <cell r="D55">
            <v>393035457</v>
          </cell>
          <cell r="E55">
            <v>87731911</v>
          </cell>
          <cell r="G55">
            <v>29321421</v>
          </cell>
        </row>
      </sheetData>
      <sheetData sheetId="15">
        <row r="36">
          <cell r="D36">
            <v>183985020</v>
          </cell>
          <cell r="E36">
            <v>25574785</v>
          </cell>
          <cell r="F36">
            <v>1320000</v>
          </cell>
        </row>
        <row r="56">
          <cell r="D56">
            <v>398845076</v>
          </cell>
          <cell r="E56">
            <v>87743660</v>
          </cell>
          <cell r="G56">
            <v>11425735</v>
          </cell>
        </row>
      </sheetData>
      <sheetData sheetId="16">
        <row r="37">
          <cell r="D37">
            <v>195728610</v>
          </cell>
          <cell r="E37">
            <v>21148955</v>
          </cell>
          <cell r="F37">
            <v>1320000</v>
          </cell>
        </row>
        <row r="57">
          <cell r="D57">
            <v>621573505</v>
          </cell>
          <cell r="E57">
            <v>74373509</v>
          </cell>
          <cell r="G57">
            <v>11076385</v>
          </cell>
        </row>
      </sheetData>
      <sheetData sheetId="17">
        <row r="37">
          <cell r="D37">
            <v>176916425</v>
          </cell>
          <cell r="E37">
            <v>23683860</v>
          </cell>
          <cell r="F37">
            <v>1320000</v>
          </cell>
        </row>
        <row r="59">
          <cell r="D59">
            <v>522946137</v>
          </cell>
          <cell r="E59">
            <v>88347206</v>
          </cell>
          <cell r="G59">
            <v>10010355</v>
          </cell>
        </row>
      </sheetData>
      <sheetData sheetId="18">
        <row r="37">
          <cell r="D37">
            <v>174032570</v>
          </cell>
          <cell r="E37">
            <v>23425020</v>
          </cell>
          <cell r="F37">
            <v>1320000</v>
          </cell>
        </row>
        <row r="59">
          <cell r="D59">
            <v>423323743</v>
          </cell>
          <cell r="E59">
            <v>86838825</v>
          </cell>
          <cell r="G59">
            <v>9860400</v>
          </cell>
        </row>
      </sheetData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CC"/>
  </sheetPr>
  <dimension ref="A1:U172"/>
  <sheetViews>
    <sheetView topLeftCell="A7" zoomScale="91" zoomScaleNormal="91" workbookViewId="0">
      <selection activeCell="B38" sqref="B38"/>
    </sheetView>
  </sheetViews>
  <sheetFormatPr defaultRowHeight="12.75"/>
  <cols>
    <col min="1" max="1" width="38.42578125" style="7" customWidth="1"/>
    <col min="2" max="2" width="11.140625" style="7" customWidth="1"/>
    <col min="3" max="3" width="12" style="7" customWidth="1"/>
    <col min="4" max="4" width="11" style="7" customWidth="1"/>
    <col min="5" max="5" width="10.7109375" style="7" customWidth="1"/>
    <col min="6" max="6" width="10.85546875" style="7" customWidth="1"/>
    <col min="7" max="7" width="11.28515625" style="7" customWidth="1"/>
    <col min="8" max="8" width="10.140625" style="7" customWidth="1"/>
    <col min="9" max="9" width="9.85546875" style="7" customWidth="1"/>
    <col min="10" max="10" width="11.28515625" style="7" customWidth="1"/>
    <col min="11" max="11" width="14.28515625" style="7" customWidth="1"/>
    <col min="12" max="12" width="9.42578125" style="7" customWidth="1"/>
    <col min="13" max="13" width="10.7109375" style="7" customWidth="1"/>
    <col min="14" max="14" width="12.140625" style="88" customWidth="1"/>
    <col min="15" max="16384" width="9.140625" style="7"/>
  </cols>
  <sheetData>
    <row r="1" spans="1:21" s="102" customFormat="1" ht="12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s="102" customFormat="1" ht="28.5" customHeight="1">
      <c r="A2" s="118" t="s">
        <v>118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8"/>
      <c r="P2" s="8"/>
      <c r="Q2" s="8"/>
      <c r="R2" s="8"/>
      <c r="S2" s="8"/>
      <c r="T2" s="8"/>
      <c r="U2" s="8"/>
    </row>
    <row r="3" spans="1:21" s="102" customFormat="1" ht="11.25" customHeight="1">
      <c r="A3" s="108"/>
      <c r="B3" s="108"/>
      <c r="C3" s="108"/>
      <c r="D3" s="108"/>
      <c r="E3" s="108"/>
      <c r="F3" s="108"/>
      <c r="G3" s="109"/>
      <c r="H3" s="109"/>
      <c r="I3" s="109"/>
      <c r="J3" s="109"/>
      <c r="K3" s="109"/>
      <c r="L3" s="109"/>
      <c r="M3" s="109"/>
      <c r="N3" s="109"/>
      <c r="O3" s="8"/>
      <c r="P3" s="8"/>
      <c r="Q3" s="8"/>
      <c r="R3" s="8"/>
      <c r="S3" s="8"/>
      <c r="T3" s="8"/>
      <c r="U3" s="8"/>
    </row>
    <row r="4" spans="1:21" ht="15.75">
      <c r="A4" s="75" t="s">
        <v>7</v>
      </c>
      <c r="B4" s="75" t="s">
        <v>119</v>
      </c>
      <c r="C4" s="75" t="s">
        <v>120</v>
      </c>
      <c r="D4" s="75" t="s">
        <v>121</v>
      </c>
      <c r="E4" s="75" t="s">
        <v>122</v>
      </c>
      <c r="F4" s="75" t="s">
        <v>123</v>
      </c>
      <c r="G4" s="75" t="s">
        <v>124</v>
      </c>
      <c r="H4" s="75" t="s">
        <v>125</v>
      </c>
      <c r="I4" s="75" t="s">
        <v>126</v>
      </c>
      <c r="J4" s="75" t="s">
        <v>127</v>
      </c>
      <c r="K4" s="75" t="s">
        <v>128</v>
      </c>
      <c r="L4" s="75" t="s">
        <v>129</v>
      </c>
      <c r="M4" s="75" t="s">
        <v>130</v>
      </c>
      <c r="N4" s="75" t="s">
        <v>131</v>
      </c>
      <c r="O4" s="2"/>
      <c r="P4" s="2"/>
      <c r="Q4" s="2"/>
      <c r="R4" s="2"/>
      <c r="S4" s="2"/>
      <c r="T4" s="2"/>
      <c r="U4" s="2"/>
    </row>
    <row r="5" spans="1:21" ht="15.75">
      <c r="A5" s="76">
        <v>1</v>
      </c>
      <c r="B5" s="76">
        <v>2</v>
      </c>
      <c r="C5" s="76">
        <v>3</v>
      </c>
      <c r="D5" s="76">
        <v>4</v>
      </c>
      <c r="E5" s="76">
        <v>5</v>
      </c>
      <c r="F5" s="76">
        <v>6</v>
      </c>
      <c r="G5" s="76">
        <v>7</v>
      </c>
      <c r="H5" s="76">
        <v>8</v>
      </c>
      <c r="I5" s="76">
        <v>9</v>
      </c>
      <c r="J5" s="76">
        <v>10</v>
      </c>
      <c r="K5" s="76">
        <v>11</v>
      </c>
      <c r="L5" s="76">
        <v>12</v>
      </c>
      <c r="M5" s="76">
        <v>13</v>
      </c>
      <c r="N5" s="76">
        <v>14</v>
      </c>
      <c r="O5" s="2"/>
      <c r="P5" s="2"/>
      <c r="Q5" s="2"/>
      <c r="R5" s="2"/>
      <c r="S5" s="2"/>
      <c r="T5" s="2"/>
      <c r="U5" s="2"/>
    </row>
    <row r="6" spans="1:21" ht="15.75">
      <c r="A6" s="77" t="s">
        <v>20</v>
      </c>
      <c r="B6" s="78">
        <f t="shared" ref="B6:M6" si="0">B7+B19+B17</f>
        <v>38204340</v>
      </c>
      <c r="C6" s="78">
        <f t="shared" si="0"/>
        <v>505400207</v>
      </c>
      <c r="D6" s="78">
        <f t="shared" si="0"/>
        <v>51792328</v>
      </c>
      <c r="E6" s="78">
        <f t="shared" si="0"/>
        <v>317723220</v>
      </c>
      <c r="F6" s="78">
        <f t="shared" si="0"/>
        <v>255279558</v>
      </c>
      <c r="G6" s="78">
        <f t="shared" si="0"/>
        <v>61538789</v>
      </c>
      <c r="H6" s="78">
        <f t="shared" si="0"/>
        <v>66412260</v>
      </c>
      <c r="I6" s="78">
        <f t="shared" si="0"/>
        <v>68125225</v>
      </c>
      <c r="J6" s="78">
        <f t="shared" si="0"/>
        <v>63830517</v>
      </c>
      <c r="K6" s="78">
        <f t="shared" si="0"/>
        <v>36529476</v>
      </c>
      <c r="L6" s="78">
        <f t="shared" si="0"/>
        <v>21131339</v>
      </c>
      <c r="M6" s="78">
        <f t="shared" si="0"/>
        <v>182310268</v>
      </c>
      <c r="N6" s="79">
        <f>SUM(B6:M6)</f>
        <v>1668277527</v>
      </c>
      <c r="O6" s="2"/>
      <c r="P6" s="2"/>
      <c r="Q6" s="2"/>
      <c r="R6" s="2"/>
      <c r="S6" s="2"/>
      <c r="T6" s="2"/>
      <c r="U6" s="2"/>
    </row>
    <row r="7" spans="1:21" s="10" customFormat="1" ht="15.75">
      <c r="A7" s="52" t="s">
        <v>10</v>
      </c>
      <c r="B7" s="62">
        <f t="shared" ref="B7:L7" si="1">SUM(B8:B14)</f>
        <v>38080000</v>
      </c>
      <c r="C7" s="62">
        <f>SUM(C8:C16)</f>
        <v>505369929</v>
      </c>
      <c r="D7" s="62">
        <f>SUM(D8:D16)</f>
        <v>51690800</v>
      </c>
      <c r="E7" s="62">
        <f>SUM(E8:E16)</f>
        <v>317679262</v>
      </c>
      <c r="F7" s="62">
        <f>SUM(F8:F16)</f>
        <v>255178410</v>
      </c>
      <c r="G7" s="62">
        <f>SUM(G8:G15)</f>
        <v>61456500</v>
      </c>
      <c r="H7" s="62">
        <f>SUM(H8:H16)</f>
        <v>64612591</v>
      </c>
      <c r="I7" s="62">
        <f>SUM(I8:I15)</f>
        <v>68028002</v>
      </c>
      <c r="J7" s="62">
        <f>SUM(J8:J15)</f>
        <v>63813654</v>
      </c>
      <c r="K7" s="62">
        <f>SUM(K8:K15)</f>
        <v>18918900</v>
      </c>
      <c r="L7" s="62">
        <f t="shared" si="1"/>
        <v>21121003</v>
      </c>
      <c r="M7" s="62">
        <f>SUM(M8:M15)</f>
        <v>182299033</v>
      </c>
      <c r="N7" s="80">
        <f>SUM(B7:M7)</f>
        <v>1648248084</v>
      </c>
      <c r="O7" s="9"/>
      <c r="P7" s="9"/>
      <c r="Q7" s="9"/>
      <c r="R7" s="9"/>
      <c r="S7" s="9"/>
      <c r="T7" s="9"/>
      <c r="U7" s="9"/>
    </row>
    <row r="8" spans="1:21" ht="14.25">
      <c r="A8" s="49" t="s">
        <v>30</v>
      </c>
      <c r="B8" s="49"/>
      <c r="C8" s="49"/>
      <c r="D8" s="49"/>
      <c r="E8" s="49"/>
      <c r="F8" s="49">
        <v>57779400</v>
      </c>
      <c r="G8" s="67">
        <v>12000000</v>
      </c>
      <c r="H8" s="63">
        <v>20000000</v>
      </c>
      <c r="I8" s="72">
        <v>28800000</v>
      </c>
      <c r="J8" s="65"/>
      <c r="K8" s="65"/>
      <c r="L8" s="65"/>
      <c r="M8" s="65"/>
      <c r="N8" s="81">
        <f>SUM(B8:M8)</f>
        <v>118579400</v>
      </c>
      <c r="O8" s="2"/>
      <c r="P8" s="2"/>
      <c r="Q8" s="2"/>
      <c r="R8" s="2"/>
      <c r="S8" s="2"/>
      <c r="T8" s="2"/>
      <c r="U8" s="2"/>
    </row>
    <row r="9" spans="1:21" ht="14.25">
      <c r="A9" s="51" t="s">
        <v>31</v>
      </c>
      <c r="B9" s="51">
        <v>10710000</v>
      </c>
      <c r="C9" s="51">
        <v>121709007</v>
      </c>
      <c r="D9" s="51"/>
      <c r="E9" s="51">
        <v>211126062</v>
      </c>
      <c r="F9" s="51">
        <v>140447010</v>
      </c>
      <c r="G9" s="68"/>
      <c r="H9" s="61">
        <v>5907990</v>
      </c>
      <c r="I9" s="72">
        <v>21562002</v>
      </c>
      <c r="J9" s="64">
        <v>32218054</v>
      </c>
      <c r="K9" s="64"/>
      <c r="L9" s="64">
        <v>9333003</v>
      </c>
      <c r="M9" s="64">
        <v>84441033</v>
      </c>
      <c r="N9" s="81">
        <f t="shared" ref="N9:N18" si="2">SUM(B9:M9)</f>
        <v>637454161</v>
      </c>
      <c r="O9" s="2"/>
      <c r="P9" s="2"/>
      <c r="Q9" s="2"/>
      <c r="R9" s="2"/>
      <c r="S9" s="2"/>
      <c r="T9" s="2"/>
      <c r="U9" s="2"/>
    </row>
    <row r="10" spans="1:21" ht="14.25">
      <c r="A10" s="51" t="s">
        <v>33</v>
      </c>
      <c r="B10" s="51"/>
      <c r="C10" s="51"/>
      <c r="D10" s="51"/>
      <c r="E10" s="51"/>
      <c r="F10" s="51"/>
      <c r="G10" s="68"/>
      <c r="H10" s="61"/>
      <c r="I10" s="72"/>
      <c r="J10" s="64"/>
      <c r="K10" s="64">
        <v>3465000</v>
      </c>
      <c r="L10" s="64"/>
      <c r="M10" s="64"/>
      <c r="N10" s="81">
        <f t="shared" si="2"/>
        <v>3465000</v>
      </c>
      <c r="O10" s="2"/>
      <c r="P10" s="2"/>
      <c r="Q10" s="2"/>
      <c r="R10" s="2"/>
      <c r="S10" s="2"/>
      <c r="T10" s="2"/>
      <c r="U10" s="2"/>
    </row>
    <row r="11" spans="1:21" ht="14.25">
      <c r="A11" s="51" t="s">
        <v>46</v>
      </c>
      <c r="B11" s="51"/>
      <c r="C11" s="51">
        <v>182893920</v>
      </c>
      <c r="D11" s="51">
        <v>14616800</v>
      </c>
      <c r="E11" s="51">
        <v>680200</v>
      </c>
      <c r="F11" s="51"/>
      <c r="G11" s="68"/>
      <c r="H11" s="61">
        <v>12353601</v>
      </c>
      <c r="I11" s="72"/>
      <c r="J11" s="64">
        <v>3650600</v>
      </c>
      <c r="K11" s="64">
        <v>4060400</v>
      </c>
      <c r="L11" s="64">
        <v>5161000</v>
      </c>
      <c r="M11" s="64">
        <v>4411000</v>
      </c>
      <c r="N11" s="81">
        <f t="shared" si="2"/>
        <v>227827521</v>
      </c>
      <c r="O11" s="2"/>
      <c r="P11" s="2"/>
      <c r="Q11" s="2"/>
      <c r="R11" s="2"/>
      <c r="S11" s="2"/>
      <c r="T11" s="2"/>
      <c r="U11" s="2"/>
    </row>
    <row r="12" spans="1:21" ht="14.25">
      <c r="A12" s="51" t="s">
        <v>34</v>
      </c>
      <c r="B12" s="51">
        <v>19000000</v>
      </c>
      <c r="C12" s="51">
        <v>41850002</v>
      </c>
      <c r="D12" s="51">
        <v>32800000</v>
      </c>
      <c r="E12" s="51"/>
      <c r="F12" s="51">
        <v>27000000</v>
      </c>
      <c r="G12" s="68">
        <v>12040000</v>
      </c>
      <c r="H12" s="61">
        <v>10620000</v>
      </c>
      <c r="I12" s="72"/>
      <c r="J12" s="64">
        <v>9080000</v>
      </c>
      <c r="K12" s="64">
        <v>1950000</v>
      </c>
      <c r="L12" s="64">
        <v>5615000</v>
      </c>
      <c r="M12" s="64">
        <v>12670000</v>
      </c>
      <c r="N12" s="81">
        <f t="shared" si="2"/>
        <v>172625002</v>
      </c>
      <c r="O12" s="2"/>
      <c r="P12" s="2"/>
      <c r="Q12" s="2"/>
      <c r="R12" s="2"/>
      <c r="S12" s="2"/>
      <c r="T12" s="2"/>
      <c r="U12" s="2"/>
    </row>
    <row r="13" spans="1:21" ht="14.25">
      <c r="A13" s="51" t="s">
        <v>32</v>
      </c>
      <c r="B13" s="51">
        <v>7370000</v>
      </c>
      <c r="C13" s="51">
        <v>15598000</v>
      </c>
      <c r="D13" s="51"/>
      <c r="E13" s="51">
        <v>86273000</v>
      </c>
      <c r="F13" s="51">
        <v>15202000</v>
      </c>
      <c r="G13" s="68">
        <v>32686500</v>
      </c>
      <c r="H13" s="61">
        <v>6831000</v>
      </c>
      <c r="I13" s="72">
        <v>17666000</v>
      </c>
      <c r="J13" s="64">
        <v>18865000</v>
      </c>
      <c r="K13" s="64">
        <v>7232500</v>
      </c>
      <c r="L13" s="64">
        <v>1012000</v>
      </c>
      <c r="M13" s="64">
        <v>40040000</v>
      </c>
      <c r="N13" s="81">
        <f t="shared" si="2"/>
        <v>248776000</v>
      </c>
      <c r="O13" s="2"/>
      <c r="P13" s="2"/>
      <c r="Q13" s="2"/>
      <c r="R13" s="2"/>
      <c r="S13" s="2"/>
      <c r="T13" s="2"/>
      <c r="U13" s="2"/>
    </row>
    <row r="14" spans="1:21" ht="14.25">
      <c r="A14" s="51" t="s">
        <v>37</v>
      </c>
      <c r="B14" s="51">
        <v>1000000</v>
      </c>
      <c r="C14" s="51">
        <v>138160000</v>
      </c>
      <c r="D14" s="51">
        <v>2800000</v>
      </c>
      <c r="E14" s="51"/>
      <c r="F14" s="51">
        <v>12000000</v>
      </c>
      <c r="G14" s="68">
        <v>4730000</v>
      </c>
      <c r="H14" s="61">
        <v>4900000</v>
      </c>
      <c r="I14" s="72"/>
      <c r="J14" s="64"/>
      <c r="K14" s="64">
        <v>2211000</v>
      </c>
      <c r="L14" s="64"/>
      <c r="M14" s="64">
        <v>40737000</v>
      </c>
      <c r="N14" s="81">
        <f t="shared" si="2"/>
        <v>206538000</v>
      </c>
      <c r="O14" s="2"/>
      <c r="P14" s="2"/>
      <c r="Q14" s="2"/>
      <c r="R14" s="2"/>
      <c r="S14" s="2"/>
      <c r="T14" s="2"/>
      <c r="U14" s="2"/>
    </row>
    <row r="15" spans="1:21" ht="14.25">
      <c r="A15" s="51" t="s">
        <v>59</v>
      </c>
      <c r="B15" s="51"/>
      <c r="C15" s="51"/>
      <c r="D15" s="51"/>
      <c r="E15" s="51"/>
      <c r="F15" s="51"/>
      <c r="G15" s="68"/>
      <c r="H15" s="61"/>
      <c r="I15" s="72"/>
      <c r="J15" s="64"/>
      <c r="K15" s="64"/>
      <c r="L15" s="64"/>
      <c r="M15" s="64"/>
      <c r="N15" s="81">
        <f t="shared" si="2"/>
        <v>0</v>
      </c>
      <c r="O15" s="2"/>
      <c r="P15" s="2"/>
      <c r="Q15" s="2"/>
      <c r="R15" s="2"/>
      <c r="S15" s="2"/>
      <c r="T15" s="2"/>
      <c r="U15" s="2"/>
    </row>
    <row r="16" spans="1:21" ht="14.25">
      <c r="A16" s="51" t="s">
        <v>87</v>
      </c>
      <c r="B16" s="51"/>
      <c r="C16" s="51">
        <v>5159000</v>
      </c>
      <c r="D16" s="51">
        <v>1474000</v>
      </c>
      <c r="E16" s="51">
        <v>19600000</v>
      </c>
      <c r="F16" s="51">
        <v>2750000</v>
      </c>
      <c r="G16" s="68"/>
      <c r="H16" s="61">
        <v>4000000</v>
      </c>
      <c r="I16" s="72"/>
      <c r="J16" s="64"/>
      <c r="K16" s="64"/>
      <c r="L16" s="64"/>
      <c r="M16" s="64"/>
      <c r="N16" s="81">
        <f t="shared" si="2"/>
        <v>32983000</v>
      </c>
      <c r="O16" s="2"/>
      <c r="P16" s="2"/>
      <c r="Q16" s="2"/>
      <c r="R16" s="2"/>
      <c r="S16" s="2"/>
      <c r="T16" s="2"/>
      <c r="U16" s="2"/>
    </row>
    <row r="17" spans="1:21" s="10" customFormat="1" ht="15.75">
      <c r="A17" s="52" t="s">
        <v>41</v>
      </c>
      <c r="B17" s="62">
        <f t="shared" ref="B17:M17" si="3">SUM(B18:B18)</f>
        <v>0</v>
      </c>
      <c r="C17" s="62">
        <f t="shared" si="3"/>
        <v>0</v>
      </c>
      <c r="D17" s="62">
        <f t="shared" si="3"/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1760000</v>
      </c>
      <c r="I17" s="73">
        <f t="shared" si="3"/>
        <v>0</v>
      </c>
      <c r="J17" s="62">
        <f t="shared" si="3"/>
        <v>0</v>
      </c>
      <c r="K17" s="62">
        <f t="shared" si="3"/>
        <v>17600000</v>
      </c>
      <c r="L17" s="62">
        <f t="shared" si="3"/>
        <v>0</v>
      </c>
      <c r="M17" s="62">
        <f t="shared" si="3"/>
        <v>0</v>
      </c>
      <c r="N17" s="80">
        <f>SUM(B17:M17)</f>
        <v>19360000</v>
      </c>
      <c r="O17" s="9"/>
      <c r="P17" s="9"/>
      <c r="Q17" s="9"/>
      <c r="R17" s="9"/>
      <c r="S17" s="9"/>
      <c r="T17" s="9"/>
    </row>
    <row r="18" spans="1:21" ht="14.25">
      <c r="A18" s="49" t="s">
        <v>21</v>
      </c>
      <c r="B18" s="49"/>
      <c r="C18" s="49"/>
      <c r="D18" s="49"/>
      <c r="E18" s="49"/>
      <c r="F18" s="49"/>
      <c r="G18" s="68"/>
      <c r="H18" s="63">
        <v>1760000</v>
      </c>
      <c r="I18" s="72"/>
      <c r="J18" s="65"/>
      <c r="K18" s="65">
        <v>17600000</v>
      </c>
      <c r="L18" s="65"/>
      <c r="M18" s="65"/>
      <c r="N18" s="81">
        <f t="shared" si="2"/>
        <v>19360000</v>
      </c>
      <c r="O18" s="2"/>
      <c r="P18" s="2"/>
      <c r="Q18" s="2"/>
      <c r="R18" s="2"/>
      <c r="S18" s="2"/>
      <c r="T18" s="2"/>
      <c r="U18" s="2"/>
    </row>
    <row r="19" spans="1:21" s="10" customFormat="1" ht="15.75">
      <c r="A19" s="52" t="s">
        <v>42</v>
      </c>
      <c r="B19" s="52">
        <v>124340</v>
      </c>
      <c r="C19" s="52">
        <v>30278</v>
      </c>
      <c r="D19" s="52">
        <v>101528</v>
      </c>
      <c r="E19" s="52">
        <v>43958</v>
      </c>
      <c r="F19" s="52">
        <v>101148</v>
      </c>
      <c r="G19" s="62">
        <v>82289</v>
      </c>
      <c r="H19" s="62">
        <v>39669</v>
      </c>
      <c r="I19" s="73">
        <v>97223</v>
      </c>
      <c r="J19" s="73">
        <v>16863</v>
      </c>
      <c r="K19" s="62">
        <v>10576</v>
      </c>
      <c r="L19" s="62">
        <v>10336</v>
      </c>
      <c r="M19" s="62">
        <v>11235</v>
      </c>
      <c r="N19" s="80">
        <f>SUM(B19:M19)</f>
        <v>669443</v>
      </c>
      <c r="O19" s="9"/>
      <c r="P19" s="9"/>
      <c r="Q19" s="9"/>
      <c r="R19" s="9"/>
      <c r="S19" s="9"/>
      <c r="T19" s="9"/>
      <c r="U19" s="9"/>
    </row>
    <row r="20" spans="1:21" ht="15.75">
      <c r="A20" s="82" t="s">
        <v>132</v>
      </c>
      <c r="B20" s="83">
        <f t="shared" ref="B20:M20" si="4">B21+B22+B32</f>
        <v>134047839</v>
      </c>
      <c r="C20" s="83">
        <f t="shared" si="4"/>
        <v>83986835</v>
      </c>
      <c r="D20" s="83">
        <f t="shared" si="4"/>
        <v>143071211</v>
      </c>
      <c r="E20" s="83">
        <f t="shared" si="4"/>
        <v>345049279</v>
      </c>
      <c r="F20" s="83">
        <f t="shared" si="4"/>
        <v>81640605</v>
      </c>
      <c r="G20" s="83">
        <f t="shared" si="4"/>
        <v>153630656</v>
      </c>
      <c r="H20" s="83">
        <f t="shared" si="4"/>
        <v>70332670</v>
      </c>
      <c r="I20" s="84">
        <f t="shared" si="4"/>
        <v>8915870</v>
      </c>
      <c r="J20" s="83">
        <f t="shared" si="4"/>
        <v>42403170</v>
      </c>
      <c r="K20" s="83">
        <f t="shared" si="4"/>
        <v>103863614</v>
      </c>
      <c r="L20" s="83">
        <f t="shared" si="4"/>
        <v>15877010</v>
      </c>
      <c r="M20" s="83">
        <f t="shared" si="4"/>
        <v>160022631</v>
      </c>
      <c r="N20" s="85">
        <f>SUM(B20:M20)</f>
        <v>1342841390</v>
      </c>
      <c r="O20" s="2"/>
      <c r="P20" s="2"/>
      <c r="Q20" s="2"/>
      <c r="R20" s="2"/>
      <c r="S20" s="2"/>
      <c r="T20" s="2"/>
      <c r="U20" s="2"/>
    </row>
    <row r="21" spans="1:21" s="10" customFormat="1" ht="15.75">
      <c r="A21" s="52" t="s">
        <v>133</v>
      </c>
      <c r="B21" s="52"/>
      <c r="C21" s="52"/>
      <c r="D21" s="52"/>
      <c r="E21" s="52"/>
      <c r="F21" s="52"/>
      <c r="G21" s="62"/>
      <c r="H21" s="62"/>
      <c r="I21" s="73"/>
      <c r="J21" s="73"/>
      <c r="K21" s="73"/>
      <c r="L21" s="62"/>
      <c r="M21" s="62"/>
      <c r="N21" s="80">
        <f>SUM(B21:M21)</f>
        <v>0</v>
      </c>
      <c r="O21" s="9"/>
      <c r="P21" s="9"/>
      <c r="Q21" s="9"/>
      <c r="R21" s="9"/>
      <c r="S21" s="9"/>
      <c r="T21" s="9"/>
      <c r="U21" s="9"/>
    </row>
    <row r="22" spans="1:21" s="10" customFormat="1" ht="15.75">
      <c r="A22" s="52" t="s">
        <v>134</v>
      </c>
      <c r="B22" s="62">
        <f t="shared" ref="B22:M22" si="5">SUM(B23:B31)</f>
        <v>41975780</v>
      </c>
      <c r="C22" s="62">
        <f t="shared" si="5"/>
        <v>57190224</v>
      </c>
      <c r="D22" s="62">
        <f t="shared" si="5"/>
        <v>134691561</v>
      </c>
      <c r="E22" s="62">
        <f t="shared" si="5"/>
        <v>305163409</v>
      </c>
      <c r="F22" s="62">
        <f t="shared" si="5"/>
        <v>62049720</v>
      </c>
      <c r="G22" s="62">
        <f t="shared" si="5"/>
        <v>136793006</v>
      </c>
      <c r="H22" s="62">
        <f t="shared" si="5"/>
        <v>16135020</v>
      </c>
      <c r="I22" s="73">
        <f t="shared" si="5"/>
        <v>11220</v>
      </c>
      <c r="J22" s="73">
        <f t="shared" si="5"/>
        <v>19679020</v>
      </c>
      <c r="K22" s="73">
        <f t="shared" si="5"/>
        <v>69162729</v>
      </c>
      <c r="L22" s="62">
        <f t="shared" si="5"/>
        <v>136360</v>
      </c>
      <c r="M22" s="62">
        <f t="shared" si="5"/>
        <v>114987481</v>
      </c>
      <c r="N22" s="80">
        <f>SUM(N23:N31)</f>
        <v>957975530</v>
      </c>
      <c r="O22" s="9"/>
      <c r="P22" s="9"/>
      <c r="Q22" s="9"/>
      <c r="R22" s="9"/>
      <c r="S22" s="9"/>
      <c r="T22" s="9"/>
      <c r="U22" s="9"/>
    </row>
    <row r="23" spans="1:21" ht="14.25">
      <c r="A23" s="49" t="s">
        <v>53</v>
      </c>
      <c r="B23" s="51">
        <v>36575780</v>
      </c>
      <c r="C23" s="49">
        <f>30455224+40000</f>
        <v>30495224</v>
      </c>
      <c r="D23" s="49">
        <f>5062000+33226001</f>
        <v>38288001</v>
      </c>
      <c r="E23" s="49">
        <f>160816477+33000000</f>
        <v>193816477</v>
      </c>
      <c r="F23" s="64">
        <f>17042000+17182000</f>
        <v>34224000</v>
      </c>
      <c r="G23" s="64">
        <f>74444206</f>
        <v>74444206</v>
      </c>
      <c r="H23" s="65"/>
      <c r="I23" s="64">
        <v>11220</v>
      </c>
      <c r="J23" s="64">
        <f>8435000+9680000+40000</f>
        <v>18155000</v>
      </c>
      <c r="K23" s="64">
        <f>24950428</f>
        <v>24950428</v>
      </c>
      <c r="L23" s="64">
        <v>40000</v>
      </c>
      <c r="M23" s="64">
        <v>66792821</v>
      </c>
      <c r="N23" s="81">
        <f>SUM(B23:M23)</f>
        <v>517793157</v>
      </c>
      <c r="O23" s="2"/>
      <c r="P23" s="2"/>
      <c r="Q23" s="2"/>
      <c r="R23" s="2"/>
      <c r="S23" s="2"/>
      <c r="T23" s="2"/>
      <c r="U23" s="2"/>
    </row>
    <row r="24" spans="1:21" ht="14.25">
      <c r="A24" s="49" t="s">
        <v>54</v>
      </c>
      <c r="B24" s="51"/>
      <c r="C24" s="49"/>
      <c r="D24" s="49"/>
      <c r="E24" s="49"/>
      <c r="F24" s="65"/>
      <c r="G24" s="65"/>
      <c r="H24" s="65"/>
      <c r="I24" s="64"/>
      <c r="J24" s="64"/>
      <c r="K24" s="64">
        <v>600000</v>
      </c>
      <c r="L24" s="64"/>
      <c r="M24" s="64"/>
      <c r="N24" s="81">
        <f t="shared" ref="N24:N38" si="6">SUM(B24:M24)</f>
        <v>600000</v>
      </c>
      <c r="O24" s="2"/>
      <c r="P24" s="2"/>
      <c r="Q24" s="2"/>
      <c r="R24" s="2"/>
      <c r="S24" s="2"/>
      <c r="T24" s="2"/>
      <c r="U24" s="2"/>
    </row>
    <row r="25" spans="1:21" ht="14.25">
      <c r="A25" s="49" t="s">
        <v>55</v>
      </c>
      <c r="B25" s="51"/>
      <c r="C25" s="49">
        <v>80000</v>
      </c>
      <c r="D25" s="49">
        <v>54253560</v>
      </c>
      <c r="E25" s="49">
        <v>91621932</v>
      </c>
      <c r="F25" s="65"/>
      <c r="G25" s="65"/>
      <c r="H25" s="65">
        <v>101020</v>
      </c>
      <c r="I25" s="64"/>
      <c r="J25" s="64">
        <v>62020</v>
      </c>
      <c r="K25" s="64">
        <f>1506780+10481521</f>
        <v>11988301</v>
      </c>
      <c r="L25" s="65">
        <v>96360</v>
      </c>
      <c r="M25" s="64">
        <v>71280</v>
      </c>
      <c r="N25" s="81">
        <f t="shared" si="6"/>
        <v>158274473</v>
      </c>
      <c r="O25" s="2"/>
      <c r="P25" s="2"/>
      <c r="Q25" s="2"/>
      <c r="R25" s="2"/>
      <c r="S25" s="2"/>
      <c r="T25" s="2"/>
      <c r="U25" s="2"/>
    </row>
    <row r="26" spans="1:21" ht="14.25">
      <c r="A26" s="49" t="s">
        <v>35</v>
      </c>
      <c r="B26" s="51"/>
      <c r="C26" s="49"/>
      <c r="D26" s="49">
        <v>36510000</v>
      </c>
      <c r="E26" s="49">
        <f>19680000</f>
        <v>19680000</v>
      </c>
      <c r="F26" s="65"/>
      <c r="G26" s="65">
        <v>14730000</v>
      </c>
      <c r="H26" s="65"/>
      <c r="I26" s="64"/>
      <c r="J26" s="64"/>
      <c r="K26" s="64">
        <v>21684000</v>
      </c>
      <c r="L26" s="64"/>
      <c r="M26" s="64">
        <v>10491000</v>
      </c>
      <c r="N26" s="81">
        <f t="shared" si="6"/>
        <v>103095000</v>
      </c>
      <c r="O26" s="2"/>
      <c r="P26" s="2"/>
      <c r="Q26" s="2"/>
      <c r="R26" s="2"/>
      <c r="S26" s="2"/>
      <c r="T26" s="2"/>
      <c r="U26" s="2"/>
    </row>
    <row r="27" spans="1:21" ht="14.25">
      <c r="A27" s="49" t="s">
        <v>36</v>
      </c>
      <c r="B27" s="51"/>
      <c r="C27" s="49">
        <v>6575000</v>
      </c>
      <c r="D27" s="49">
        <v>2000000</v>
      </c>
      <c r="E27" s="49"/>
      <c r="F27" s="65">
        <v>14675000</v>
      </c>
      <c r="G27" s="65">
        <v>25779000</v>
      </c>
      <c r="H27" s="65">
        <v>16000000</v>
      </c>
      <c r="I27" s="64"/>
      <c r="J27" s="64"/>
      <c r="K27" s="64">
        <v>2950000</v>
      </c>
      <c r="L27" s="64"/>
      <c r="M27" s="64">
        <v>28395000</v>
      </c>
      <c r="N27" s="81">
        <f t="shared" si="6"/>
        <v>96374000</v>
      </c>
      <c r="O27" s="2"/>
      <c r="P27" s="2"/>
      <c r="Q27" s="2"/>
      <c r="R27" s="2"/>
      <c r="S27" s="2"/>
      <c r="T27" s="2"/>
      <c r="U27" s="2"/>
    </row>
    <row r="28" spans="1:21" ht="14.25">
      <c r="A28" s="49" t="s">
        <v>38</v>
      </c>
      <c r="B28" s="49"/>
      <c r="C28" s="49">
        <v>20000000</v>
      </c>
      <c r="D28" s="49"/>
      <c r="E28" s="49"/>
      <c r="F28" s="65">
        <v>3659500</v>
      </c>
      <c r="G28" s="65">
        <v>6100000</v>
      </c>
      <c r="H28" s="65"/>
      <c r="I28" s="64"/>
      <c r="J28" s="64"/>
      <c r="K28" s="64">
        <v>2940000</v>
      </c>
      <c r="L28" s="64"/>
      <c r="M28" s="64">
        <v>5505600</v>
      </c>
      <c r="N28" s="81">
        <f t="shared" si="6"/>
        <v>38205100</v>
      </c>
      <c r="O28" s="2"/>
      <c r="P28" s="2"/>
      <c r="Q28" s="2"/>
      <c r="R28" s="2"/>
      <c r="S28" s="2"/>
      <c r="T28" s="2"/>
      <c r="U28" s="2"/>
    </row>
    <row r="29" spans="1:21" ht="14.25">
      <c r="A29" s="49" t="s">
        <v>58</v>
      </c>
      <c r="B29" s="49"/>
      <c r="C29" s="49"/>
      <c r="D29" s="49">
        <v>3640000</v>
      </c>
      <c r="E29" s="49"/>
      <c r="F29" s="49"/>
      <c r="G29" s="65"/>
      <c r="H29" s="65"/>
      <c r="I29" s="64"/>
      <c r="J29" s="64"/>
      <c r="K29" s="64"/>
      <c r="L29" s="64"/>
      <c r="M29" s="64"/>
      <c r="N29" s="81">
        <f t="shared" si="6"/>
        <v>3640000</v>
      </c>
      <c r="O29" s="2"/>
      <c r="P29" s="2"/>
      <c r="Q29" s="2"/>
      <c r="R29" s="2"/>
      <c r="S29" s="2"/>
      <c r="T29" s="2"/>
      <c r="U29" s="2"/>
    </row>
    <row r="30" spans="1:21" ht="14.25">
      <c r="A30" s="49" t="s">
        <v>88</v>
      </c>
      <c r="B30" s="49"/>
      <c r="C30" s="49">
        <v>40000</v>
      </c>
      <c r="D30" s="49"/>
      <c r="E30" s="49">
        <v>45000</v>
      </c>
      <c r="F30" s="65">
        <v>11220</v>
      </c>
      <c r="G30" s="65">
        <v>15739800</v>
      </c>
      <c r="H30" s="65">
        <v>34000</v>
      </c>
      <c r="I30" s="64"/>
      <c r="J30" s="64"/>
      <c r="K30" s="64">
        <v>4050000</v>
      </c>
      <c r="L30" s="64"/>
      <c r="M30" s="64">
        <v>21780</v>
      </c>
      <c r="N30" s="81">
        <f>SUM(B30:M30)</f>
        <v>19941800</v>
      </c>
      <c r="O30" s="2"/>
      <c r="P30" s="2"/>
      <c r="Q30" s="2"/>
      <c r="R30" s="2"/>
      <c r="S30" s="2"/>
      <c r="T30" s="2"/>
      <c r="U30" s="2"/>
    </row>
    <row r="31" spans="1:21" ht="14.25">
      <c r="A31" s="49" t="s">
        <v>1</v>
      </c>
      <c r="B31" s="49">
        <v>5400000</v>
      </c>
      <c r="C31" s="49"/>
      <c r="D31" s="49"/>
      <c r="E31" s="49"/>
      <c r="F31" s="64">
        <v>9480000</v>
      </c>
      <c r="G31" s="65"/>
      <c r="H31" s="65"/>
      <c r="I31" s="64"/>
      <c r="J31" s="64">
        <v>1462000</v>
      </c>
      <c r="K31" s="64"/>
      <c r="L31" s="64"/>
      <c r="M31" s="64">
        <v>3710000</v>
      </c>
      <c r="N31" s="81">
        <f t="shared" si="6"/>
        <v>20052000</v>
      </c>
      <c r="O31" s="2"/>
      <c r="P31" s="2"/>
      <c r="Q31" s="2"/>
      <c r="R31" s="2"/>
      <c r="S31" s="2"/>
      <c r="T31" s="2"/>
      <c r="U31" s="2"/>
    </row>
    <row r="32" spans="1:21" s="10" customFormat="1" ht="15.75">
      <c r="A32" s="52" t="s">
        <v>135</v>
      </c>
      <c r="B32" s="62">
        <f t="shared" ref="B32:M32" si="7">SUM(B33:B37)</f>
        <v>92072059</v>
      </c>
      <c r="C32" s="62">
        <f t="shared" si="7"/>
        <v>26796611</v>
      </c>
      <c r="D32" s="62">
        <f t="shared" si="7"/>
        <v>8379650</v>
      </c>
      <c r="E32" s="62">
        <f t="shared" si="7"/>
        <v>39885870</v>
      </c>
      <c r="F32" s="62">
        <f t="shared" si="7"/>
        <v>19590885</v>
      </c>
      <c r="G32" s="62">
        <f t="shared" si="7"/>
        <v>16837650</v>
      </c>
      <c r="H32" s="62">
        <f t="shared" si="7"/>
        <v>54197650</v>
      </c>
      <c r="I32" s="73">
        <f t="shared" si="7"/>
        <v>8904650</v>
      </c>
      <c r="J32" s="73">
        <f t="shared" si="7"/>
        <v>22724150</v>
      </c>
      <c r="K32" s="73">
        <f t="shared" si="7"/>
        <v>34700885</v>
      </c>
      <c r="L32" s="62">
        <f t="shared" si="7"/>
        <v>15740650</v>
      </c>
      <c r="M32" s="62">
        <f t="shared" si="7"/>
        <v>45035150</v>
      </c>
      <c r="N32" s="80">
        <f t="shared" si="6"/>
        <v>384865860</v>
      </c>
      <c r="O32" s="9"/>
      <c r="P32" s="9"/>
      <c r="Q32" s="9"/>
      <c r="R32" s="9"/>
      <c r="S32" s="9"/>
      <c r="T32" s="9"/>
      <c r="U32" s="9"/>
    </row>
    <row r="33" spans="1:21" ht="14.25">
      <c r="A33" s="49" t="s">
        <v>27</v>
      </c>
      <c r="B33" s="49">
        <v>11370000</v>
      </c>
      <c r="C33" s="51"/>
      <c r="D33" s="51"/>
      <c r="E33" s="51">
        <v>9430000</v>
      </c>
      <c r="F33" s="51">
        <v>590000</v>
      </c>
      <c r="G33" s="61">
        <v>9850000</v>
      </c>
      <c r="H33" s="61">
        <v>16908000</v>
      </c>
      <c r="I33" s="72">
        <v>2015000</v>
      </c>
      <c r="J33" s="64">
        <v>10148000</v>
      </c>
      <c r="K33" s="64">
        <v>5711000</v>
      </c>
      <c r="L33" s="64">
        <f>4247000+4193000</f>
        <v>8440000</v>
      </c>
      <c r="M33" s="64">
        <v>17718000</v>
      </c>
      <c r="N33" s="81">
        <f t="shared" si="6"/>
        <v>92180000</v>
      </c>
      <c r="O33" s="2"/>
      <c r="P33" s="2"/>
      <c r="Q33" s="2"/>
      <c r="R33" s="2"/>
      <c r="S33" s="2"/>
      <c r="T33" s="2"/>
      <c r="U33" s="2"/>
    </row>
    <row r="34" spans="1:21" ht="14.25">
      <c r="A34" s="49" t="s">
        <v>39</v>
      </c>
      <c r="B34" s="51">
        <v>46670000</v>
      </c>
      <c r="C34" s="51">
        <v>8806111</v>
      </c>
      <c r="D34" s="51">
        <v>6867650</v>
      </c>
      <c r="E34" s="51">
        <v>6867650</v>
      </c>
      <c r="F34" s="51">
        <v>6867650</v>
      </c>
      <c r="G34" s="51">
        <v>6867650</v>
      </c>
      <c r="H34" s="61">
        <v>6867650</v>
      </c>
      <c r="I34" s="61">
        <v>6867650</v>
      </c>
      <c r="J34" s="61">
        <v>6867650</v>
      </c>
      <c r="K34" s="61">
        <v>6867650</v>
      </c>
      <c r="L34" s="61">
        <v>6867650</v>
      </c>
      <c r="M34" s="64">
        <v>6867650</v>
      </c>
      <c r="N34" s="81">
        <f t="shared" si="6"/>
        <v>124152611</v>
      </c>
      <c r="O34" s="2"/>
      <c r="P34" s="2"/>
      <c r="Q34" s="2"/>
      <c r="R34" s="2"/>
      <c r="S34" s="2"/>
      <c r="T34" s="2"/>
      <c r="U34" s="2"/>
    </row>
    <row r="35" spans="1:21" ht="15.75">
      <c r="A35" s="49" t="s">
        <v>40</v>
      </c>
      <c r="B35" s="51">
        <v>1000000</v>
      </c>
      <c r="C35" s="51"/>
      <c r="D35" s="57"/>
      <c r="E35" s="51"/>
      <c r="F35" s="61">
        <v>2041825</v>
      </c>
      <c r="G35" s="61"/>
      <c r="H35" s="61"/>
      <c r="I35" s="72"/>
      <c r="J35" s="64"/>
      <c r="K35" s="64">
        <v>1639235</v>
      </c>
      <c r="L35" s="64"/>
      <c r="M35" s="64"/>
      <c r="N35" s="81">
        <f t="shared" si="6"/>
        <v>4681060</v>
      </c>
      <c r="O35" s="2"/>
      <c r="P35" s="2"/>
      <c r="Q35" s="2"/>
      <c r="R35" s="2"/>
      <c r="S35" s="2"/>
      <c r="T35" s="2"/>
      <c r="U35" s="2"/>
    </row>
    <row r="36" spans="1:21" ht="14.25">
      <c r="A36" s="49" t="s">
        <v>15</v>
      </c>
      <c r="B36" s="51">
        <f>49500+54559</f>
        <v>104059</v>
      </c>
      <c r="C36" s="51">
        <f>5500</f>
        <v>5500</v>
      </c>
      <c r="D36" s="51">
        <f>33000</f>
        <v>33000</v>
      </c>
      <c r="E36" s="51">
        <f>66000</f>
        <v>66000</v>
      </c>
      <c r="F36" s="61">
        <v>66000</v>
      </c>
      <c r="G36" s="61">
        <v>55000</v>
      </c>
      <c r="H36" s="61">
        <f>22000</f>
        <v>22000</v>
      </c>
      <c r="I36" s="72">
        <v>22000</v>
      </c>
      <c r="J36" s="64">
        <v>38500</v>
      </c>
      <c r="K36" s="64">
        <v>33000</v>
      </c>
      <c r="L36" s="64">
        <f>33000</f>
        <v>33000</v>
      </c>
      <c r="M36" s="64">
        <f>11000+38500</f>
        <v>49500</v>
      </c>
      <c r="N36" s="81">
        <f t="shared" si="6"/>
        <v>527559</v>
      </c>
      <c r="O36" s="2"/>
      <c r="P36" s="2"/>
      <c r="Q36" s="2"/>
      <c r="R36" s="2"/>
      <c r="S36" s="2"/>
      <c r="T36" s="2"/>
      <c r="U36" s="2"/>
    </row>
    <row r="37" spans="1:21" ht="14.25">
      <c r="A37" s="49" t="s">
        <v>1</v>
      </c>
      <c r="B37" s="51">
        <f>11755000+21173000</f>
        <v>32928000</v>
      </c>
      <c r="C37" s="51">
        <v>17985000</v>
      </c>
      <c r="D37" s="51">
        <v>1479000</v>
      </c>
      <c r="E37" s="51">
        <v>23522220</v>
      </c>
      <c r="F37" s="51">
        <v>10025410</v>
      </c>
      <c r="G37" s="61">
        <v>65000</v>
      </c>
      <c r="H37" s="61">
        <v>30400000</v>
      </c>
      <c r="I37" s="72"/>
      <c r="J37" s="64">
        <v>5670000</v>
      </c>
      <c r="K37" s="64">
        <v>20450000</v>
      </c>
      <c r="L37" s="64">
        <f>400000</f>
        <v>400000</v>
      </c>
      <c r="M37" s="64">
        <v>20400000</v>
      </c>
      <c r="N37" s="81">
        <f t="shared" si="6"/>
        <v>163324630</v>
      </c>
      <c r="O37" s="2"/>
      <c r="P37" s="2"/>
      <c r="Q37" s="2"/>
      <c r="R37" s="2"/>
      <c r="S37" s="2"/>
      <c r="T37" s="2"/>
      <c r="U37" s="2"/>
    </row>
    <row r="38" spans="1:21" s="88" customFormat="1" ht="15.75">
      <c r="A38" s="103" t="s">
        <v>136</v>
      </c>
      <c r="B38" s="104">
        <f t="shared" ref="B38:M38" si="8">B6-B20</f>
        <v>-95843499</v>
      </c>
      <c r="C38" s="104">
        <f t="shared" si="8"/>
        <v>421413372</v>
      </c>
      <c r="D38" s="104">
        <f t="shared" si="8"/>
        <v>-91278883</v>
      </c>
      <c r="E38" s="104">
        <f t="shared" si="8"/>
        <v>-27326059</v>
      </c>
      <c r="F38" s="104">
        <f t="shared" si="8"/>
        <v>173638953</v>
      </c>
      <c r="G38" s="104">
        <f t="shared" si="8"/>
        <v>-92091867</v>
      </c>
      <c r="H38" s="104">
        <f t="shared" si="8"/>
        <v>-3920410</v>
      </c>
      <c r="I38" s="104">
        <f t="shared" si="8"/>
        <v>59209355</v>
      </c>
      <c r="J38" s="104">
        <f t="shared" si="8"/>
        <v>21427347</v>
      </c>
      <c r="K38" s="104">
        <f t="shared" si="8"/>
        <v>-67334138</v>
      </c>
      <c r="L38" s="104">
        <f t="shared" si="8"/>
        <v>5254329</v>
      </c>
      <c r="M38" s="104">
        <f t="shared" si="8"/>
        <v>22287637</v>
      </c>
      <c r="N38" s="104">
        <f t="shared" si="6"/>
        <v>325436137</v>
      </c>
      <c r="O38" s="74"/>
      <c r="P38" s="74"/>
      <c r="Q38" s="74"/>
      <c r="R38" s="74"/>
      <c r="S38" s="74"/>
      <c r="T38" s="74"/>
      <c r="U38" s="74"/>
    </row>
    <row r="39" spans="1:21" s="102" customFormat="1" ht="15.75">
      <c r="A39" s="106"/>
      <c r="B39" s="106"/>
      <c r="C39" s="106"/>
      <c r="D39" s="106"/>
      <c r="E39" s="106"/>
      <c r="F39" s="106"/>
      <c r="J39" s="107"/>
      <c r="K39" s="107"/>
      <c r="L39" s="107"/>
      <c r="M39" s="107"/>
    </row>
    <row r="40" spans="1:21" s="102" customFormat="1" ht="15.75">
      <c r="A40" s="106"/>
      <c r="B40" s="106"/>
      <c r="C40" s="106"/>
      <c r="D40" s="106"/>
      <c r="E40" s="106"/>
      <c r="F40" s="106"/>
      <c r="J40" s="107"/>
      <c r="K40" s="107"/>
      <c r="L40" s="107"/>
      <c r="M40" s="107"/>
    </row>
    <row r="41" spans="1:21" s="102" customFormat="1" ht="15.75">
      <c r="A41" s="106"/>
      <c r="B41" s="106"/>
      <c r="C41" s="106"/>
      <c r="D41" s="106"/>
      <c r="E41" s="106"/>
      <c r="F41" s="106"/>
      <c r="J41" s="107"/>
      <c r="K41" s="107"/>
      <c r="L41" s="107"/>
      <c r="M41" s="107"/>
    </row>
    <row r="42" spans="1:21" s="102" customFormat="1" ht="15.75">
      <c r="A42" s="106"/>
      <c r="B42" s="106"/>
      <c r="C42" s="106"/>
      <c r="D42" s="106"/>
      <c r="E42" s="106"/>
      <c r="F42" s="106"/>
      <c r="J42" s="107"/>
      <c r="K42" s="107"/>
      <c r="L42" s="107"/>
      <c r="M42" s="107"/>
    </row>
    <row r="43" spans="1:21" s="102" customFormat="1" ht="15.75">
      <c r="A43" s="106"/>
      <c r="B43" s="106"/>
      <c r="C43" s="106"/>
      <c r="D43" s="106"/>
      <c r="E43" s="106"/>
      <c r="F43" s="106"/>
      <c r="J43" s="107"/>
      <c r="K43" s="107"/>
      <c r="L43" s="107"/>
      <c r="M43" s="107"/>
    </row>
    <row r="44" spans="1:21" s="102" customFormat="1" ht="15.75">
      <c r="A44" s="106"/>
      <c r="B44" s="106"/>
      <c r="C44" s="106"/>
      <c r="D44" s="106"/>
      <c r="E44" s="106"/>
      <c r="F44" s="106"/>
      <c r="J44" s="107"/>
      <c r="K44" s="107"/>
      <c r="L44" s="107"/>
      <c r="M44" s="107"/>
    </row>
    <row r="45" spans="1:21" s="102" customFormat="1" ht="15.75">
      <c r="A45" s="106"/>
      <c r="B45" s="106"/>
      <c r="C45" s="106"/>
      <c r="D45" s="106"/>
      <c r="E45" s="106"/>
      <c r="F45" s="106"/>
      <c r="J45" s="107"/>
      <c r="K45" s="107"/>
      <c r="L45" s="107"/>
      <c r="M45" s="107"/>
    </row>
    <row r="46" spans="1:21" s="102" customFormat="1" ht="15.75">
      <c r="A46" s="106"/>
      <c r="B46" s="106"/>
      <c r="C46" s="106"/>
      <c r="D46" s="106"/>
      <c r="E46" s="106"/>
      <c r="F46" s="106"/>
      <c r="J46" s="107"/>
      <c r="K46" s="107"/>
      <c r="L46" s="107"/>
      <c r="M46" s="107"/>
    </row>
    <row r="47" spans="1:21" s="102" customFormat="1" ht="15.75">
      <c r="A47" s="106"/>
      <c r="B47" s="106"/>
      <c r="C47" s="106"/>
      <c r="D47" s="106"/>
      <c r="E47" s="106"/>
      <c r="F47" s="106"/>
      <c r="J47" s="107"/>
      <c r="K47" s="107"/>
      <c r="L47" s="107"/>
      <c r="M47" s="107"/>
    </row>
    <row r="48" spans="1:21" s="102" customFormat="1" ht="15.75">
      <c r="A48" s="106"/>
      <c r="B48" s="106"/>
      <c r="C48" s="106"/>
      <c r="D48" s="106"/>
      <c r="E48" s="106"/>
      <c r="F48" s="106"/>
      <c r="J48" s="107"/>
      <c r="K48" s="107"/>
      <c r="L48" s="107"/>
      <c r="M48" s="107"/>
    </row>
    <row r="49" spans="1:20" s="102" customFormat="1" ht="15.75">
      <c r="A49" s="106"/>
      <c r="B49" s="106"/>
      <c r="C49" s="106"/>
      <c r="D49" s="106"/>
      <c r="E49" s="106"/>
      <c r="F49" s="106"/>
      <c r="J49" s="107"/>
      <c r="K49" s="107"/>
      <c r="L49" s="107"/>
      <c r="M49" s="107"/>
    </row>
    <row r="50" spans="1:20" s="102" customFormat="1" ht="15.75">
      <c r="A50" s="106"/>
      <c r="B50" s="106"/>
      <c r="C50" s="106"/>
      <c r="D50" s="106"/>
      <c r="E50" s="106"/>
      <c r="F50" s="106"/>
      <c r="J50" s="107"/>
      <c r="K50" s="107"/>
      <c r="L50" s="107"/>
      <c r="M50" s="107"/>
    </row>
    <row r="51" spans="1:20" s="102" customFormat="1" ht="25.5" customHeight="1">
      <c r="A51" s="119" t="s">
        <v>137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05"/>
      <c r="L51" s="105"/>
      <c r="M51" s="105"/>
      <c r="N51" s="8"/>
      <c r="O51" s="8"/>
      <c r="P51" s="8"/>
      <c r="Q51" s="8"/>
      <c r="R51" s="8"/>
      <c r="S51" s="8"/>
      <c r="T51" s="8"/>
    </row>
    <row r="52" spans="1:20" s="102" customFormat="1" ht="15.75">
      <c r="A52" s="106"/>
      <c r="B52" s="106"/>
      <c r="C52" s="106"/>
      <c r="D52" s="106"/>
      <c r="E52" s="106"/>
      <c r="F52" s="106"/>
      <c r="G52" s="106"/>
      <c r="H52" s="106"/>
      <c r="I52" s="106"/>
    </row>
    <row r="53" spans="1:20" s="10" customFormat="1" ht="30.75" customHeight="1">
      <c r="A53" s="120" t="s">
        <v>138</v>
      </c>
      <c r="B53" s="115" t="s">
        <v>139</v>
      </c>
      <c r="C53" s="115" t="s">
        <v>140</v>
      </c>
      <c r="D53" s="115" t="s">
        <v>141</v>
      </c>
      <c r="E53" s="115" t="s">
        <v>142</v>
      </c>
      <c r="F53" s="115" t="s">
        <v>143</v>
      </c>
      <c r="G53" s="115" t="s">
        <v>144</v>
      </c>
      <c r="H53" s="115" t="s">
        <v>145</v>
      </c>
      <c r="I53" s="115" t="s">
        <v>146</v>
      </c>
      <c r="J53" s="115" t="s">
        <v>147</v>
      </c>
      <c r="K53" s="76" t="s">
        <v>131</v>
      </c>
      <c r="L53" s="117"/>
      <c r="M53" s="89"/>
      <c r="N53" s="117"/>
      <c r="O53" s="9"/>
      <c r="P53" s="9"/>
      <c r="Q53" s="9"/>
      <c r="R53" s="9"/>
      <c r="S53" s="9"/>
      <c r="T53" s="9"/>
    </row>
    <row r="54" spans="1:20" s="10" customFormat="1" ht="49.5" customHeight="1">
      <c r="A54" s="121"/>
      <c r="B54" s="116"/>
      <c r="C54" s="116"/>
      <c r="D54" s="116"/>
      <c r="E54" s="116"/>
      <c r="F54" s="116"/>
      <c r="G54" s="116"/>
      <c r="H54" s="116"/>
      <c r="I54" s="116"/>
      <c r="J54" s="116"/>
      <c r="K54" s="90"/>
      <c r="L54" s="117"/>
      <c r="M54" s="89"/>
      <c r="N54" s="117"/>
      <c r="O54" s="9"/>
      <c r="P54" s="9"/>
      <c r="Q54" s="9"/>
      <c r="R54" s="9"/>
      <c r="S54" s="9"/>
      <c r="T54" s="9"/>
    </row>
    <row r="55" spans="1:20" ht="16.5" customHeight="1">
      <c r="A55" s="91">
        <v>1</v>
      </c>
      <c r="B55" s="91">
        <v>2</v>
      </c>
      <c r="C55" s="92" t="s">
        <v>148</v>
      </c>
      <c r="D55" s="92" t="s">
        <v>149</v>
      </c>
      <c r="E55" s="92" t="s">
        <v>150</v>
      </c>
      <c r="F55" s="92" t="s">
        <v>151</v>
      </c>
      <c r="G55" s="92" t="s">
        <v>152</v>
      </c>
      <c r="H55" s="92" t="s">
        <v>153</v>
      </c>
      <c r="I55" s="92">
        <v>9</v>
      </c>
      <c r="J55" s="92">
        <v>10</v>
      </c>
      <c r="K55" s="92">
        <v>11</v>
      </c>
      <c r="L55" s="93"/>
      <c r="M55" s="93"/>
      <c r="N55" s="93"/>
      <c r="O55" s="2"/>
      <c r="P55" s="2"/>
      <c r="Q55" s="2"/>
      <c r="R55" s="2"/>
      <c r="S55" s="2"/>
      <c r="T55" s="2"/>
    </row>
    <row r="56" spans="1:20" ht="15.75">
      <c r="A56" s="77" t="s">
        <v>154</v>
      </c>
      <c r="B56" s="94">
        <f t="shared" ref="B56:I56" si="9">SUM(B57:B57)</f>
        <v>118579400</v>
      </c>
      <c r="C56" s="94">
        <f t="shared" si="9"/>
        <v>637454161</v>
      </c>
      <c r="D56" s="94">
        <f t="shared" si="9"/>
        <v>3465000</v>
      </c>
      <c r="E56" s="94">
        <f t="shared" si="9"/>
        <v>227827521</v>
      </c>
      <c r="F56" s="94">
        <f t="shared" si="9"/>
        <v>172625002</v>
      </c>
      <c r="G56" s="94">
        <f t="shared" si="9"/>
        <v>248776000</v>
      </c>
      <c r="H56" s="94">
        <f t="shared" si="9"/>
        <v>0</v>
      </c>
      <c r="I56" s="94">
        <f t="shared" si="9"/>
        <v>32983000</v>
      </c>
      <c r="J56" s="94">
        <f>SUM(J57:J57)</f>
        <v>206538000</v>
      </c>
      <c r="K56" s="95">
        <f t="shared" ref="K56:K69" si="10">SUM(B56:J56)</f>
        <v>1648248084</v>
      </c>
      <c r="L56" s="96"/>
      <c r="M56" s="96"/>
      <c r="N56" s="96"/>
      <c r="O56" s="2"/>
      <c r="P56" s="2"/>
      <c r="Q56" s="2"/>
      <c r="R56" s="2"/>
      <c r="S56" s="2"/>
      <c r="T56" s="2"/>
    </row>
    <row r="57" spans="1:20" ht="14.25">
      <c r="A57" s="49" t="s">
        <v>155</v>
      </c>
      <c r="B57" s="49">
        <f>N8</f>
        <v>118579400</v>
      </c>
      <c r="C57" s="49">
        <f>N9</f>
        <v>637454161</v>
      </c>
      <c r="D57" s="49">
        <f>N10</f>
        <v>3465000</v>
      </c>
      <c r="E57" s="49">
        <f>N11</f>
        <v>227827521</v>
      </c>
      <c r="F57" s="49">
        <f>N12</f>
        <v>172625002</v>
      </c>
      <c r="G57" s="49">
        <f>N13</f>
        <v>248776000</v>
      </c>
      <c r="H57" s="49">
        <f>N15</f>
        <v>0</v>
      </c>
      <c r="I57" s="49">
        <f>N16</f>
        <v>32983000</v>
      </c>
      <c r="J57" s="49">
        <f>N14</f>
        <v>206538000</v>
      </c>
      <c r="K57" s="81">
        <f t="shared" si="10"/>
        <v>1648248084</v>
      </c>
      <c r="L57" s="97"/>
      <c r="M57" s="97"/>
      <c r="N57" s="97"/>
      <c r="O57" s="2"/>
      <c r="P57" s="2"/>
      <c r="Q57" s="2"/>
      <c r="R57" s="2"/>
      <c r="S57" s="2"/>
      <c r="T57" s="2"/>
    </row>
    <row r="58" spans="1:20" ht="15.75">
      <c r="A58" s="82" t="s">
        <v>156</v>
      </c>
      <c r="B58" s="83">
        <f t="shared" ref="B58:J58" si="11">SUM(B59:B69)</f>
        <v>0</v>
      </c>
      <c r="C58" s="83">
        <f t="shared" si="11"/>
        <v>484793157</v>
      </c>
      <c r="D58" s="83">
        <f t="shared" si="11"/>
        <v>600000</v>
      </c>
      <c r="E58" s="83">
        <f t="shared" si="11"/>
        <v>191274473</v>
      </c>
      <c r="F58" s="83">
        <f t="shared" si="11"/>
        <v>103095000</v>
      </c>
      <c r="G58" s="83">
        <f t="shared" si="11"/>
        <v>96374000</v>
      </c>
      <c r="H58" s="83">
        <f t="shared" si="11"/>
        <v>3640000</v>
      </c>
      <c r="I58" s="83">
        <f t="shared" si="11"/>
        <v>19941800</v>
      </c>
      <c r="J58" s="83">
        <f t="shared" si="11"/>
        <v>38205100</v>
      </c>
      <c r="K58" s="85">
        <f t="shared" si="10"/>
        <v>937923530</v>
      </c>
      <c r="L58" s="98"/>
      <c r="M58" s="98"/>
      <c r="N58" s="98"/>
      <c r="O58" s="2"/>
      <c r="P58" s="2"/>
      <c r="Q58" s="2"/>
      <c r="R58" s="2"/>
      <c r="S58" s="2"/>
      <c r="T58" s="2"/>
    </row>
    <row r="59" spans="1:20" ht="14.25">
      <c r="A59" s="49" t="s">
        <v>157</v>
      </c>
      <c r="B59" s="49"/>
      <c r="C59" s="49">
        <f>12133780+51220+5062000+26828440+17042000+11220+8475000+40000+10980000+11000</f>
        <v>80634660</v>
      </c>
      <c r="D59" s="49"/>
      <c r="E59" s="49">
        <f>80000+11220+49830000+101020+96360+71280</f>
        <v>50189880</v>
      </c>
      <c r="F59" s="49"/>
      <c r="G59" s="49"/>
      <c r="H59" s="49"/>
      <c r="I59" s="49">
        <f>40000+45000+11220+34000+21780</f>
        <v>152000</v>
      </c>
      <c r="J59" s="49"/>
      <c r="K59" s="81">
        <f t="shared" si="10"/>
        <v>130976540</v>
      </c>
      <c r="L59" s="99"/>
      <c r="M59" s="99"/>
      <c r="N59" s="97"/>
      <c r="O59" s="2"/>
      <c r="P59" s="2"/>
      <c r="Q59" s="2"/>
      <c r="R59" s="2"/>
      <c r="S59" s="2"/>
      <c r="T59" s="2"/>
    </row>
    <row r="60" spans="1:20" ht="14.25">
      <c r="A60" s="49" t="s">
        <v>158</v>
      </c>
      <c r="B60" s="49"/>
      <c r="C60" s="49"/>
      <c r="D60" s="49"/>
      <c r="E60" s="49">
        <f>11325000+62020+1485000+21780</f>
        <v>12893800</v>
      </c>
      <c r="F60" s="49"/>
      <c r="G60" s="49"/>
      <c r="H60" s="49"/>
      <c r="I60" s="49"/>
      <c r="J60" s="49"/>
      <c r="K60" s="81">
        <f t="shared" si="10"/>
        <v>12893800</v>
      </c>
      <c r="L60" s="99"/>
      <c r="M60" s="99"/>
      <c r="N60" s="97"/>
      <c r="O60" s="2"/>
      <c r="P60" s="2"/>
      <c r="Q60" s="2"/>
      <c r="R60" s="2"/>
      <c r="S60" s="2"/>
      <c r="T60" s="2"/>
    </row>
    <row r="61" spans="1:20" ht="14.25">
      <c r="A61" s="49" t="s">
        <v>159</v>
      </c>
      <c r="B61" s="49"/>
      <c r="C61" s="49">
        <f>30444004+19674001+75666037+47824206+24950428+34021821</f>
        <v>232580497</v>
      </c>
      <c r="D61" s="49"/>
      <c r="E61" s="49">
        <f>54253560+30455712+33000000+10481521</f>
        <v>128190793</v>
      </c>
      <c r="F61" s="49">
        <f>36510000+19680000+14730000+21684000+10491000</f>
        <v>103095000</v>
      </c>
      <c r="G61" s="49"/>
      <c r="H61" s="49"/>
      <c r="I61" s="49">
        <f>15739800+4050000</f>
        <v>19789800</v>
      </c>
      <c r="J61" s="49">
        <f>6100000+2940000+5505600</f>
        <v>14545600</v>
      </c>
      <c r="K61" s="81">
        <f t="shared" si="10"/>
        <v>498201690</v>
      </c>
      <c r="L61" s="99"/>
      <c r="M61" s="99"/>
      <c r="N61" s="97"/>
      <c r="O61" s="2"/>
      <c r="P61" s="2"/>
      <c r="Q61" s="2"/>
      <c r="R61" s="2"/>
      <c r="S61" s="2"/>
      <c r="T61" s="2"/>
    </row>
    <row r="62" spans="1:20" ht="14.25">
      <c r="A62" s="49" t="s">
        <v>160</v>
      </c>
      <c r="B62" s="49"/>
      <c r="C62" s="49">
        <f>24442000+13552000+58322000+17182000+26620000+9680000+21780000</f>
        <v>171578000</v>
      </c>
      <c r="D62" s="49"/>
      <c r="E62" s="49"/>
      <c r="F62" s="49"/>
      <c r="G62" s="49"/>
      <c r="H62" s="49"/>
      <c r="I62" s="49"/>
      <c r="J62" s="49"/>
      <c r="K62" s="81">
        <f t="shared" si="10"/>
        <v>171578000</v>
      </c>
      <c r="L62" s="99"/>
      <c r="M62" s="99"/>
      <c r="N62" s="97"/>
      <c r="O62" s="2"/>
      <c r="P62" s="2"/>
      <c r="Q62" s="2"/>
      <c r="R62" s="2"/>
      <c r="S62" s="2"/>
      <c r="T62" s="2"/>
    </row>
    <row r="63" spans="1:20" ht="14.25">
      <c r="A63" s="49" t="s">
        <v>161</v>
      </c>
      <c r="B63" s="49"/>
      <c r="C63" s="49"/>
      <c r="D63" s="49">
        <v>600000</v>
      </c>
      <c r="E63" s="49"/>
      <c r="F63" s="49"/>
      <c r="G63" s="49">
        <f>6575000+14675000+2950000+60000</f>
        <v>24260000</v>
      </c>
      <c r="H63" s="49">
        <v>3640000</v>
      </c>
      <c r="I63" s="49"/>
      <c r="J63" s="49"/>
      <c r="K63" s="81">
        <f t="shared" si="10"/>
        <v>28500000</v>
      </c>
      <c r="L63" s="99"/>
      <c r="M63" s="99"/>
      <c r="N63" s="97"/>
      <c r="O63" s="2"/>
      <c r="P63" s="2"/>
      <c r="Q63" s="2"/>
      <c r="R63" s="2"/>
      <c r="S63" s="2"/>
      <c r="T63" s="2"/>
    </row>
    <row r="64" spans="1:20" ht="14.25">
      <c r="A64" s="49" t="s">
        <v>162</v>
      </c>
      <c r="B64" s="49"/>
      <c r="C64" s="49"/>
      <c r="D64" s="49"/>
      <c r="E64" s="49"/>
      <c r="F64" s="49"/>
      <c r="G64" s="49"/>
      <c r="H64" s="49"/>
      <c r="I64" s="49"/>
      <c r="J64" s="49">
        <v>20000000</v>
      </c>
      <c r="K64" s="81">
        <f t="shared" si="10"/>
        <v>20000000</v>
      </c>
      <c r="L64" s="99"/>
      <c r="M64" s="99"/>
      <c r="N64" s="97"/>
      <c r="O64" s="2"/>
      <c r="P64" s="2"/>
      <c r="Q64" s="2"/>
      <c r="R64" s="2"/>
      <c r="S64" s="2"/>
      <c r="T64" s="2"/>
    </row>
    <row r="65" spans="1:20" ht="14.25">
      <c r="A65" s="49" t="s">
        <v>163</v>
      </c>
      <c r="B65" s="49"/>
      <c r="C65" s="49"/>
      <c r="D65" s="49"/>
      <c r="E65" s="49"/>
      <c r="F65" s="49"/>
      <c r="G65" s="49"/>
      <c r="H65" s="49"/>
      <c r="I65" s="49"/>
      <c r="J65" s="49">
        <v>300000</v>
      </c>
      <c r="K65" s="81">
        <f t="shared" si="10"/>
        <v>300000</v>
      </c>
      <c r="L65" s="99"/>
      <c r="M65" s="99"/>
      <c r="N65" s="97"/>
      <c r="O65" s="2"/>
      <c r="P65" s="2"/>
      <c r="Q65" s="2"/>
      <c r="R65" s="2"/>
      <c r="S65" s="2"/>
      <c r="T65" s="2"/>
    </row>
    <row r="66" spans="1:20" ht="15.75">
      <c r="A66" s="49" t="s">
        <v>164</v>
      </c>
      <c r="B66" s="49"/>
      <c r="C66" s="100"/>
      <c r="D66" s="100"/>
      <c r="E66" s="100"/>
      <c r="F66" s="100"/>
      <c r="G66" s="100"/>
      <c r="H66" s="100"/>
      <c r="I66" s="100"/>
      <c r="J66" s="100">
        <v>3359500</v>
      </c>
      <c r="K66" s="81">
        <f t="shared" si="10"/>
        <v>3359500</v>
      </c>
      <c r="L66" s="99"/>
      <c r="M66" s="99"/>
      <c r="N66" s="97"/>
      <c r="O66" s="2"/>
      <c r="P66" s="2"/>
      <c r="Q66" s="2"/>
      <c r="R66" s="2"/>
      <c r="S66" s="2"/>
      <c r="T66" s="2"/>
    </row>
    <row r="67" spans="1:20" ht="14.25">
      <c r="A67" s="49" t="s">
        <v>165</v>
      </c>
      <c r="B67" s="49"/>
      <c r="C67" s="49"/>
      <c r="D67" s="49"/>
      <c r="E67" s="49"/>
      <c r="F67" s="49"/>
      <c r="G67" s="49">
        <f>25779000+8295000</f>
        <v>34074000</v>
      </c>
      <c r="H67" s="49"/>
      <c r="I67" s="49"/>
      <c r="J67" s="49"/>
      <c r="K67" s="81">
        <f t="shared" si="10"/>
        <v>34074000</v>
      </c>
      <c r="L67" s="99"/>
      <c r="M67" s="99"/>
      <c r="N67" s="97"/>
      <c r="O67" s="2"/>
      <c r="P67" s="2"/>
      <c r="Q67" s="2"/>
      <c r="R67" s="2"/>
      <c r="S67" s="2"/>
      <c r="T67" s="2"/>
    </row>
    <row r="68" spans="1:20" ht="15.75">
      <c r="A68" s="49" t="s">
        <v>166</v>
      </c>
      <c r="B68" s="49"/>
      <c r="C68" s="100"/>
      <c r="D68" s="100"/>
      <c r="E68" s="100"/>
      <c r="F68" s="100"/>
      <c r="G68" s="100">
        <v>16000000</v>
      </c>
      <c r="H68" s="100"/>
      <c r="I68" s="100"/>
      <c r="J68" s="100"/>
      <c r="K68" s="81">
        <f t="shared" si="10"/>
        <v>16000000</v>
      </c>
      <c r="L68" s="99"/>
      <c r="M68" s="99"/>
      <c r="N68" s="97"/>
      <c r="O68" s="2"/>
      <c r="P68" s="2"/>
      <c r="Q68" s="2"/>
      <c r="R68" s="2"/>
      <c r="S68" s="2"/>
      <c r="T68" s="2"/>
    </row>
    <row r="69" spans="1:20" ht="15.75">
      <c r="A69" s="49" t="s">
        <v>167</v>
      </c>
      <c r="B69" s="49"/>
      <c r="C69" s="100"/>
      <c r="D69" s="100"/>
      <c r="E69" s="100"/>
      <c r="F69" s="100"/>
      <c r="G69" s="100">
        <f>2000000+20040000</f>
        <v>22040000</v>
      </c>
      <c r="H69" s="100"/>
      <c r="I69" s="100"/>
      <c r="J69" s="100"/>
      <c r="K69" s="81">
        <f t="shared" si="10"/>
        <v>22040000</v>
      </c>
      <c r="L69" s="99"/>
      <c r="M69" s="99"/>
      <c r="N69" s="97"/>
      <c r="O69" s="2"/>
      <c r="P69" s="2"/>
      <c r="Q69" s="2"/>
      <c r="R69" s="2"/>
      <c r="S69" s="2"/>
      <c r="T69" s="2"/>
    </row>
    <row r="70" spans="1:20" s="6" customFormat="1" ht="17.25">
      <c r="A70" s="86" t="s">
        <v>168</v>
      </c>
      <c r="B70" s="87">
        <f t="shared" ref="B70:I70" si="12">B56-B58</f>
        <v>118579400</v>
      </c>
      <c r="C70" s="87">
        <f t="shared" si="12"/>
        <v>152661004</v>
      </c>
      <c r="D70" s="87">
        <f t="shared" si="12"/>
        <v>2865000</v>
      </c>
      <c r="E70" s="87">
        <f t="shared" si="12"/>
        <v>36553048</v>
      </c>
      <c r="F70" s="87">
        <f t="shared" si="12"/>
        <v>69530002</v>
      </c>
      <c r="G70" s="87">
        <f t="shared" si="12"/>
        <v>152402000</v>
      </c>
      <c r="H70" s="87">
        <f t="shared" si="12"/>
        <v>-3640000</v>
      </c>
      <c r="I70" s="87">
        <f t="shared" si="12"/>
        <v>13041200</v>
      </c>
      <c r="J70" s="87">
        <f>J56-J58</f>
        <v>168332900</v>
      </c>
      <c r="K70" s="87">
        <f>K56-K58</f>
        <v>710324554</v>
      </c>
      <c r="L70" s="101"/>
      <c r="M70" s="101"/>
      <c r="N70" s="101"/>
      <c r="O70" s="5"/>
      <c r="P70" s="5"/>
      <c r="Q70" s="5"/>
      <c r="R70" s="5"/>
      <c r="S70" s="5"/>
      <c r="T70" s="5"/>
    </row>
    <row r="71" spans="1:20">
      <c r="N71" s="102"/>
    </row>
    <row r="72" spans="1:20">
      <c r="N72" s="102"/>
    </row>
    <row r="73" spans="1:20">
      <c r="N73" s="102"/>
    </row>
    <row r="74" spans="1:20">
      <c r="N74" s="102"/>
    </row>
    <row r="75" spans="1:20">
      <c r="N75" s="102"/>
    </row>
    <row r="76" spans="1:20">
      <c r="N76" s="102"/>
    </row>
    <row r="77" spans="1:20">
      <c r="N77" s="102"/>
    </row>
    <row r="78" spans="1:20">
      <c r="N78" s="102"/>
    </row>
    <row r="79" spans="1:20">
      <c r="N79" s="102"/>
    </row>
    <row r="80" spans="1:20">
      <c r="N80" s="102"/>
    </row>
    <row r="81" spans="14:14">
      <c r="N81" s="102"/>
    </row>
    <row r="82" spans="14:14">
      <c r="N82" s="102"/>
    </row>
    <row r="83" spans="14:14">
      <c r="N83" s="102"/>
    </row>
    <row r="84" spans="14:14">
      <c r="N84" s="102"/>
    </row>
    <row r="85" spans="14:14">
      <c r="N85" s="102"/>
    </row>
    <row r="86" spans="14:14">
      <c r="N86" s="102"/>
    </row>
    <row r="87" spans="14:14">
      <c r="N87" s="102"/>
    </row>
    <row r="88" spans="14:14">
      <c r="N88" s="102"/>
    </row>
    <row r="89" spans="14:14">
      <c r="N89" s="102"/>
    </row>
    <row r="90" spans="14:14">
      <c r="N90" s="102"/>
    </row>
    <row r="91" spans="14:14">
      <c r="N91" s="102"/>
    </row>
    <row r="92" spans="14:14">
      <c r="N92" s="102"/>
    </row>
    <row r="93" spans="14:14">
      <c r="N93" s="102"/>
    </row>
    <row r="94" spans="14:14">
      <c r="N94" s="102"/>
    </row>
    <row r="95" spans="14:14">
      <c r="N95" s="102"/>
    </row>
    <row r="96" spans="14:14">
      <c r="N96" s="102"/>
    </row>
    <row r="97" spans="14:14">
      <c r="N97" s="102"/>
    </row>
    <row r="98" spans="14:14">
      <c r="N98" s="102"/>
    </row>
    <row r="99" spans="14:14">
      <c r="N99" s="102"/>
    </row>
    <row r="100" spans="14:14">
      <c r="N100" s="102"/>
    </row>
    <row r="101" spans="14:14">
      <c r="N101" s="102"/>
    </row>
    <row r="102" spans="14:14">
      <c r="N102" s="102"/>
    </row>
    <row r="103" spans="14:14">
      <c r="N103" s="102"/>
    </row>
    <row r="104" spans="14:14">
      <c r="N104" s="102"/>
    </row>
    <row r="105" spans="14:14">
      <c r="N105" s="102"/>
    </row>
    <row r="106" spans="14:14">
      <c r="N106" s="102"/>
    </row>
    <row r="107" spans="14:14">
      <c r="N107" s="102"/>
    </row>
    <row r="108" spans="14:14">
      <c r="N108" s="102"/>
    </row>
    <row r="109" spans="14:14">
      <c r="N109" s="102"/>
    </row>
    <row r="110" spans="14:14">
      <c r="N110" s="102"/>
    </row>
    <row r="111" spans="14:14">
      <c r="N111" s="102"/>
    </row>
    <row r="112" spans="14:14">
      <c r="N112" s="102"/>
    </row>
    <row r="113" spans="14:14">
      <c r="N113" s="102"/>
    </row>
    <row r="114" spans="14:14">
      <c r="N114" s="102"/>
    </row>
    <row r="115" spans="14:14">
      <c r="N115" s="102"/>
    </row>
    <row r="116" spans="14:14">
      <c r="N116" s="102"/>
    </row>
    <row r="117" spans="14:14">
      <c r="N117" s="102"/>
    </row>
    <row r="118" spans="14:14">
      <c r="N118" s="102"/>
    </row>
    <row r="119" spans="14:14">
      <c r="N119" s="102"/>
    </row>
    <row r="120" spans="14:14">
      <c r="N120" s="102"/>
    </row>
    <row r="121" spans="14:14">
      <c r="N121" s="102"/>
    </row>
    <row r="122" spans="14:14">
      <c r="N122" s="102"/>
    </row>
    <row r="123" spans="14:14">
      <c r="N123" s="102"/>
    </row>
    <row r="124" spans="14:14">
      <c r="N124" s="102"/>
    </row>
    <row r="125" spans="14:14">
      <c r="N125" s="102"/>
    </row>
    <row r="126" spans="14:14">
      <c r="N126" s="102"/>
    </row>
    <row r="127" spans="14:14">
      <c r="N127" s="102"/>
    </row>
    <row r="128" spans="14:14">
      <c r="N128" s="102"/>
    </row>
    <row r="129" spans="14:14">
      <c r="N129" s="102"/>
    </row>
    <row r="130" spans="14:14">
      <c r="N130" s="102"/>
    </row>
    <row r="131" spans="14:14">
      <c r="N131" s="102"/>
    </row>
    <row r="132" spans="14:14">
      <c r="N132" s="102"/>
    </row>
    <row r="133" spans="14:14">
      <c r="N133" s="102"/>
    </row>
    <row r="134" spans="14:14">
      <c r="N134" s="102"/>
    </row>
    <row r="135" spans="14:14">
      <c r="N135" s="102"/>
    </row>
    <row r="136" spans="14:14">
      <c r="N136" s="102"/>
    </row>
    <row r="137" spans="14:14">
      <c r="N137" s="102"/>
    </row>
    <row r="138" spans="14:14">
      <c r="N138" s="102"/>
    </row>
    <row r="139" spans="14:14">
      <c r="N139" s="102"/>
    </row>
    <row r="140" spans="14:14">
      <c r="N140" s="102"/>
    </row>
    <row r="141" spans="14:14">
      <c r="N141" s="102"/>
    </row>
    <row r="142" spans="14:14">
      <c r="N142" s="102"/>
    </row>
    <row r="143" spans="14:14">
      <c r="N143" s="102"/>
    </row>
    <row r="144" spans="14:14">
      <c r="N144" s="102"/>
    </row>
    <row r="145" spans="14:14">
      <c r="N145" s="102"/>
    </row>
    <row r="146" spans="14:14">
      <c r="N146" s="102"/>
    </row>
    <row r="147" spans="14:14">
      <c r="N147" s="102"/>
    </row>
    <row r="148" spans="14:14">
      <c r="N148" s="102"/>
    </row>
    <row r="149" spans="14:14">
      <c r="N149" s="102"/>
    </row>
    <row r="150" spans="14:14">
      <c r="N150" s="102"/>
    </row>
    <row r="151" spans="14:14">
      <c r="N151" s="102"/>
    </row>
    <row r="152" spans="14:14">
      <c r="N152" s="102"/>
    </row>
    <row r="153" spans="14:14">
      <c r="N153" s="102"/>
    </row>
    <row r="154" spans="14:14">
      <c r="N154" s="102"/>
    </row>
    <row r="155" spans="14:14">
      <c r="N155" s="102"/>
    </row>
    <row r="156" spans="14:14">
      <c r="N156" s="102"/>
    </row>
    <row r="157" spans="14:14">
      <c r="N157" s="102"/>
    </row>
    <row r="158" spans="14:14">
      <c r="N158" s="102"/>
    </row>
    <row r="159" spans="14:14">
      <c r="N159" s="102"/>
    </row>
    <row r="160" spans="14:14">
      <c r="N160" s="102"/>
    </row>
    <row r="161" spans="14:14">
      <c r="N161" s="102"/>
    </row>
    <row r="162" spans="14:14">
      <c r="N162" s="102"/>
    </row>
    <row r="163" spans="14:14">
      <c r="N163" s="102"/>
    </row>
    <row r="164" spans="14:14">
      <c r="N164" s="102"/>
    </row>
    <row r="165" spans="14:14">
      <c r="N165" s="102"/>
    </row>
    <row r="166" spans="14:14">
      <c r="N166" s="102"/>
    </row>
    <row r="167" spans="14:14">
      <c r="N167" s="102"/>
    </row>
    <row r="168" spans="14:14">
      <c r="N168" s="102"/>
    </row>
    <row r="169" spans="14:14">
      <c r="N169" s="102"/>
    </row>
    <row r="170" spans="14:14">
      <c r="N170" s="102"/>
    </row>
    <row r="171" spans="14:14">
      <c r="N171" s="102"/>
    </row>
    <row r="172" spans="14:14">
      <c r="N172" s="102"/>
    </row>
  </sheetData>
  <mergeCells count="14">
    <mergeCell ref="I53:I54"/>
    <mergeCell ref="J53:J54"/>
    <mergeCell ref="L53:L54"/>
    <mergeCell ref="N53:N54"/>
    <mergeCell ref="A2:N2"/>
    <mergeCell ref="A51:J51"/>
    <mergeCell ref="A53:A54"/>
    <mergeCell ref="B53:B54"/>
    <mergeCell ref="C53:C54"/>
    <mergeCell ref="D53:D54"/>
    <mergeCell ref="E53:E54"/>
    <mergeCell ref="F53:F54"/>
    <mergeCell ref="G53:G54"/>
    <mergeCell ref="H53:H54"/>
  </mergeCells>
  <pageMargins left="0.22" right="0.16" top="0.32" bottom="0.32" header="0.3" footer="0.3"/>
  <pageSetup scale="7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>
      <pane xSplit="1" ySplit="5" topLeftCell="B6" activePane="bottomRight" state="frozen"/>
      <selection activeCell="Q31" sqref="Q31"/>
      <selection pane="topRight" activeCell="Q31" sqref="Q31"/>
      <selection pane="bottomLeft" activeCell="Q31" sqref="Q31"/>
      <selection pane="bottomRight" activeCell="I22" sqref="I22"/>
    </sheetView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22" t="s">
        <v>113</v>
      </c>
      <c r="B2" s="122"/>
      <c r="C2" s="122"/>
      <c r="D2" s="12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7</v>
      </c>
      <c r="B4" s="11" t="s">
        <v>65</v>
      </c>
      <c r="C4" s="11" t="s">
        <v>7</v>
      </c>
      <c r="D4" s="11" t="s">
        <v>65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20</v>
      </c>
      <c r="B6" s="41">
        <f t="shared" ref="B6" si="0">B7+B19+B17</f>
        <v>68125225</v>
      </c>
      <c r="C6" s="40" t="s">
        <v>74</v>
      </c>
      <c r="D6" s="42">
        <f>D7+D8+D18</f>
        <v>8915870</v>
      </c>
      <c r="E6" s="8"/>
      <c r="F6" s="2"/>
      <c r="G6" s="2"/>
      <c r="H6" s="2"/>
      <c r="I6" s="2"/>
    </row>
    <row r="7" spans="1:9" s="10" customFormat="1" ht="15.75">
      <c r="A7" s="19" t="s">
        <v>10</v>
      </c>
      <c r="B7" s="26">
        <f>SUM(B8:B16)</f>
        <v>68028002</v>
      </c>
      <c r="C7" s="19" t="s">
        <v>2</v>
      </c>
      <c r="D7" s="19"/>
      <c r="E7" s="45"/>
      <c r="F7" s="9"/>
      <c r="G7" s="9"/>
      <c r="H7" s="9"/>
      <c r="I7" s="9"/>
    </row>
    <row r="8" spans="1:9" ht="15.75">
      <c r="A8" s="49" t="s">
        <v>30</v>
      </c>
      <c r="B8" s="72">
        <v>28800000</v>
      </c>
      <c r="C8" s="19" t="s">
        <v>47</v>
      </c>
      <c r="D8" s="26">
        <f>SUM(D9:D17)</f>
        <v>11220</v>
      </c>
      <c r="E8" s="8"/>
      <c r="F8" s="2"/>
      <c r="G8" s="2"/>
      <c r="H8" s="2"/>
      <c r="I8" s="2"/>
    </row>
    <row r="9" spans="1:9" ht="14.25">
      <c r="A9" s="51" t="s">
        <v>31</v>
      </c>
      <c r="B9" s="72">
        <v>21562002</v>
      </c>
      <c r="C9" s="49" t="s">
        <v>53</v>
      </c>
      <c r="D9" s="64">
        <v>11220</v>
      </c>
      <c r="E9" s="8"/>
      <c r="F9" s="2"/>
      <c r="G9" s="2"/>
      <c r="H9" s="2"/>
      <c r="I9" s="2"/>
    </row>
    <row r="10" spans="1:9" ht="14.25">
      <c r="A10" s="51" t="s">
        <v>33</v>
      </c>
      <c r="B10" s="72"/>
      <c r="C10" s="49" t="s">
        <v>54</v>
      </c>
      <c r="D10" s="65"/>
      <c r="E10" s="8"/>
      <c r="F10" s="2"/>
      <c r="G10" s="2"/>
      <c r="H10" s="2"/>
      <c r="I10" s="2"/>
    </row>
    <row r="11" spans="1:9" ht="14.25">
      <c r="A11" s="51" t="s">
        <v>46</v>
      </c>
      <c r="B11" s="72"/>
      <c r="C11" s="49" t="s">
        <v>55</v>
      </c>
      <c r="D11" s="65"/>
      <c r="E11" s="8"/>
      <c r="F11" s="2"/>
      <c r="G11" s="2"/>
      <c r="H11" s="2"/>
      <c r="I11" s="2"/>
    </row>
    <row r="12" spans="1:9" ht="14.25">
      <c r="A12" s="51" t="s">
        <v>34</v>
      </c>
      <c r="B12" s="72"/>
      <c r="C12" s="49" t="s">
        <v>35</v>
      </c>
      <c r="D12" s="65"/>
      <c r="E12" s="8"/>
      <c r="F12" s="2"/>
      <c r="G12" s="2"/>
      <c r="H12" s="2"/>
      <c r="I12" s="2"/>
    </row>
    <row r="13" spans="1:9" ht="14.25">
      <c r="A13" s="51" t="s">
        <v>32</v>
      </c>
      <c r="B13" s="72">
        <v>17666000</v>
      </c>
      <c r="C13" s="49" t="s">
        <v>36</v>
      </c>
      <c r="D13" s="65"/>
      <c r="E13" s="8"/>
      <c r="F13" s="2"/>
      <c r="G13" s="2"/>
      <c r="H13" s="2"/>
      <c r="I13" s="2"/>
    </row>
    <row r="14" spans="1:9" ht="14.25">
      <c r="A14" s="51" t="s">
        <v>37</v>
      </c>
      <c r="B14" s="72"/>
      <c r="C14" s="49" t="s">
        <v>38</v>
      </c>
      <c r="D14" s="65"/>
      <c r="E14" s="8"/>
      <c r="F14" s="2"/>
      <c r="G14" s="2"/>
      <c r="H14" s="2"/>
      <c r="I14" s="2"/>
    </row>
    <row r="15" spans="1:9" ht="14.25">
      <c r="A15" s="51" t="s">
        <v>59</v>
      </c>
      <c r="B15" s="72"/>
      <c r="C15" s="49" t="s">
        <v>58</v>
      </c>
      <c r="D15" s="65"/>
      <c r="E15" s="8"/>
      <c r="F15" s="2"/>
      <c r="G15" s="2"/>
      <c r="H15" s="2"/>
      <c r="I15" s="2"/>
    </row>
    <row r="16" spans="1:9" ht="14.25">
      <c r="A16" s="51" t="s">
        <v>87</v>
      </c>
      <c r="B16" s="72"/>
      <c r="C16" s="49" t="s">
        <v>88</v>
      </c>
      <c r="D16" s="65"/>
      <c r="E16" s="8"/>
      <c r="F16" s="2"/>
      <c r="G16" s="2"/>
      <c r="H16" s="2"/>
      <c r="I16" s="2"/>
    </row>
    <row r="17" spans="1:9" s="10" customFormat="1" ht="15.75">
      <c r="A17" s="19" t="s">
        <v>41</v>
      </c>
      <c r="B17" s="26">
        <f t="shared" ref="B17" si="1">SUM(B18:B18)</f>
        <v>0</v>
      </c>
      <c r="C17" s="49" t="s">
        <v>1</v>
      </c>
      <c r="D17" s="65"/>
      <c r="E17" s="45"/>
      <c r="F17" s="9"/>
      <c r="G17" s="9"/>
      <c r="H17" s="9"/>
    </row>
    <row r="18" spans="1:9" ht="15.75">
      <c r="A18" s="17" t="s">
        <v>21</v>
      </c>
      <c r="B18" s="17"/>
      <c r="C18" s="19" t="s">
        <v>73</v>
      </c>
      <c r="D18" s="26">
        <f>SUM(D19:D23)</f>
        <v>8904650</v>
      </c>
      <c r="E18" s="8"/>
      <c r="F18" s="2"/>
      <c r="G18" s="2"/>
      <c r="H18" s="2"/>
      <c r="I18" s="2"/>
    </row>
    <row r="19" spans="1:9" s="10" customFormat="1" ht="15.75">
      <c r="A19" s="19" t="s">
        <v>42</v>
      </c>
      <c r="B19" s="62">
        <v>97223</v>
      </c>
      <c r="C19" s="17" t="s">
        <v>27</v>
      </c>
      <c r="D19" s="72">
        <v>2015000</v>
      </c>
      <c r="E19" s="45"/>
      <c r="F19" s="9"/>
      <c r="G19" s="9"/>
      <c r="H19" s="9"/>
      <c r="I19" s="9"/>
    </row>
    <row r="20" spans="1:9" ht="14.25">
      <c r="A20" s="43"/>
      <c r="B20" s="43"/>
      <c r="C20" s="17" t="s">
        <v>39</v>
      </c>
      <c r="D20" s="61">
        <v>6867650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40</v>
      </c>
      <c r="D21" s="72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15</v>
      </c>
      <c r="D22" s="72">
        <v>22000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1</v>
      </c>
      <c r="D23" s="72"/>
      <c r="E23" s="8"/>
      <c r="F23" s="2"/>
      <c r="G23" s="2"/>
      <c r="H23" s="2"/>
      <c r="I23" s="2"/>
    </row>
    <row r="24" spans="1:9" s="6" customFormat="1" ht="17.25">
      <c r="A24" s="31" t="s">
        <v>70</v>
      </c>
      <c r="B24" s="123">
        <f>B6-D6</f>
        <v>59209355</v>
      </c>
      <c r="C24" s="123"/>
      <c r="D24" s="12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>
      <pane xSplit="1" ySplit="5" topLeftCell="B6" activePane="bottomRight" state="frozen"/>
      <selection activeCell="Q31" sqref="Q31"/>
      <selection pane="topRight" activeCell="Q31" sqref="Q31"/>
      <selection pane="bottomLeft" activeCell="Q31" sqref="Q31"/>
      <selection pane="bottomRight" activeCell="D19" sqref="D19:D23"/>
    </sheetView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22" t="s">
        <v>114</v>
      </c>
      <c r="B2" s="122"/>
      <c r="C2" s="122"/>
      <c r="D2" s="12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7</v>
      </c>
      <c r="B4" s="11" t="s">
        <v>65</v>
      </c>
      <c r="C4" s="11" t="s">
        <v>7</v>
      </c>
      <c r="D4" s="11" t="s">
        <v>65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20</v>
      </c>
      <c r="B6" s="41">
        <f t="shared" ref="B6" si="0">B7+B19+B17</f>
        <v>63830517</v>
      </c>
      <c r="C6" s="40" t="s">
        <v>74</v>
      </c>
      <c r="D6" s="42">
        <f>D7+D8+D18</f>
        <v>42403170</v>
      </c>
      <c r="E6" s="8"/>
      <c r="F6" s="2"/>
      <c r="G6" s="2"/>
      <c r="H6" s="2"/>
      <c r="I6" s="2"/>
    </row>
    <row r="7" spans="1:9" s="10" customFormat="1" ht="15.75">
      <c r="A7" s="19" t="s">
        <v>10</v>
      </c>
      <c r="B7" s="26">
        <f>SUM(B8:B16)</f>
        <v>63813654</v>
      </c>
      <c r="C7" s="19" t="s">
        <v>2</v>
      </c>
      <c r="D7" s="19"/>
      <c r="E7" s="45"/>
      <c r="F7" s="9"/>
      <c r="G7" s="9"/>
      <c r="H7" s="9"/>
      <c r="I7" s="9"/>
    </row>
    <row r="8" spans="1:9" ht="15.75">
      <c r="A8" s="49" t="s">
        <v>30</v>
      </c>
      <c r="B8" s="65"/>
      <c r="C8" s="19" t="s">
        <v>47</v>
      </c>
      <c r="D8" s="26">
        <f>SUM(D9:D17)</f>
        <v>19679020</v>
      </c>
      <c r="E8" s="8"/>
      <c r="F8" s="2"/>
      <c r="G8" s="2"/>
      <c r="H8" s="2"/>
      <c r="I8" s="2"/>
    </row>
    <row r="9" spans="1:9" ht="14.25">
      <c r="A9" s="51" t="s">
        <v>31</v>
      </c>
      <c r="B9" s="64">
        <v>32218054</v>
      </c>
      <c r="C9" s="49" t="s">
        <v>53</v>
      </c>
      <c r="D9" s="64">
        <f>8435000+9680000+40000</f>
        <v>18155000</v>
      </c>
      <c r="E9" s="8"/>
      <c r="F9" s="2"/>
      <c r="G9" s="2"/>
      <c r="H9" s="2"/>
      <c r="I9" s="2"/>
    </row>
    <row r="10" spans="1:9" ht="14.25">
      <c r="A10" s="51" t="s">
        <v>33</v>
      </c>
      <c r="B10" s="64"/>
      <c r="C10" s="49" t="s">
        <v>54</v>
      </c>
      <c r="D10" s="64"/>
      <c r="E10" s="8"/>
      <c r="F10" s="2"/>
      <c r="G10" s="2"/>
      <c r="H10" s="2"/>
      <c r="I10" s="2"/>
    </row>
    <row r="11" spans="1:9" ht="14.25">
      <c r="A11" s="51" t="s">
        <v>46</v>
      </c>
      <c r="B11" s="64">
        <v>3650600</v>
      </c>
      <c r="C11" s="49" t="s">
        <v>55</v>
      </c>
      <c r="D11" s="64">
        <v>62020</v>
      </c>
      <c r="E11" s="8"/>
      <c r="F11" s="2"/>
      <c r="G11" s="2"/>
      <c r="H11" s="2"/>
      <c r="I11" s="2"/>
    </row>
    <row r="12" spans="1:9" ht="14.25">
      <c r="A12" s="51" t="s">
        <v>34</v>
      </c>
      <c r="B12" s="64">
        <v>9080000</v>
      </c>
      <c r="C12" s="49" t="s">
        <v>35</v>
      </c>
      <c r="D12" s="64"/>
      <c r="E12" s="8"/>
      <c r="F12" s="2"/>
      <c r="G12" s="2"/>
      <c r="H12" s="2"/>
      <c r="I12" s="2"/>
    </row>
    <row r="13" spans="1:9" ht="14.25">
      <c r="A13" s="51" t="s">
        <v>32</v>
      </c>
      <c r="B13" s="64">
        <v>18865000</v>
      </c>
      <c r="C13" s="49" t="s">
        <v>36</v>
      </c>
      <c r="D13" s="64"/>
      <c r="E13" s="8"/>
      <c r="F13" s="2"/>
      <c r="G13" s="2"/>
      <c r="H13" s="2"/>
      <c r="I13" s="2"/>
    </row>
    <row r="14" spans="1:9" ht="14.25">
      <c r="A14" s="51" t="s">
        <v>37</v>
      </c>
      <c r="B14" s="64"/>
      <c r="C14" s="49" t="s">
        <v>38</v>
      </c>
      <c r="D14" s="64"/>
      <c r="E14" s="8"/>
      <c r="F14" s="2"/>
      <c r="G14" s="2"/>
      <c r="H14" s="2"/>
      <c r="I14" s="2"/>
    </row>
    <row r="15" spans="1:9" ht="14.25">
      <c r="A15" s="51" t="s">
        <v>59</v>
      </c>
      <c r="B15" s="64"/>
      <c r="C15" s="49" t="s">
        <v>58</v>
      </c>
      <c r="D15" s="64"/>
      <c r="E15" s="8"/>
      <c r="F15" s="2"/>
      <c r="G15" s="2"/>
      <c r="H15" s="2"/>
      <c r="I15" s="2"/>
    </row>
    <row r="16" spans="1:9" ht="14.25">
      <c r="A16" s="51" t="s">
        <v>87</v>
      </c>
      <c r="B16" s="64"/>
      <c r="C16" s="49" t="s">
        <v>88</v>
      </c>
      <c r="D16" s="64"/>
      <c r="E16" s="8"/>
      <c r="F16" s="2"/>
      <c r="G16" s="2"/>
      <c r="H16" s="2"/>
      <c r="I16" s="2"/>
    </row>
    <row r="17" spans="1:9" s="10" customFormat="1" ht="15.75">
      <c r="A17" s="19" t="s">
        <v>41</v>
      </c>
      <c r="B17" s="26">
        <f t="shared" ref="B17" si="1">SUM(B18:B18)</f>
        <v>0</v>
      </c>
      <c r="C17" s="49" t="s">
        <v>1</v>
      </c>
      <c r="D17" s="64">
        <v>1462000</v>
      </c>
      <c r="E17" s="45"/>
      <c r="F17" s="9"/>
      <c r="G17" s="9"/>
      <c r="H17" s="9"/>
    </row>
    <row r="18" spans="1:9" ht="15.75">
      <c r="A18" s="17" t="s">
        <v>21</v>
      </c>
      <c r="B18" s="17"/>
      <c r="C18" s="19" t="s">
        <v>73</v>
      </c>
      <c r="D18" s="26">
        <f>SUM(D19:D23)</f>
        <v>22724150</v>
      </c>
      <c r="E18" s="8"/>
      <c r="F18" s="2"/>
      <c r="G18" s="2"/>
      <c r="H18" s="2"/>
      <c r="I18" s="2"/>
    </row>
    <row r="19" spans="1:9" s="10" customFormat="1" ht="15.75">
      <c r="A19" s="19" t="s">
        <v>42</v>
      </c>
      <c r="B19" s="73">
        <v>16863</v>
      </c>
      <c r="C19" s="17" t="s">
        <v>27</v>
      </c>
      <c r="D19" s="64">
        <v>10148000</v>
      </c>
      <c r="E19" s="45"/>
      <c r="F19" s="9"/>
      <c r="G19" s="9"/>
      <c r="H19" s="9"/>
      <c r="I19" s="9"/>
    </row>
    <row r="20" spans="1:9" ht="14.25">
      <c r="A20" s="43"/>
      <c r="B20" s="43"/>
      <c r="C20" s="17" t="s">
        <v>39</v>
      </c>
      <c r="D20" s="61">
        <v>6867650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40</v>
      </c>
      <c r="D21" s="64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15</v>
      </c>
      <c r="D22" s="64">
        <v>38500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1</v>
      </c>
      <c r="D23" s="64">
        <v>5670000</v>
      </c>
      <c r="E23" s="8"/>
      <c r="F23" s="2"/>
      <c r="G23" s="2"/>
      <c r="H23" s="2"/>
      <c r="I23" s="2"/>
    </row>
    <row r="24" spans="1:9" s="6" customFormat="1" ht="17.25">
      <c r="A24" s="31" t="s">
        <v>70</v>
      </c>
      <c r="B24" s="123">
        <f>B6-D6</f>
        <v>21427347</v>
      </c>
      <c r="C24" s="123"/>
      <c r="D24" s="12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>
      <pane xSplit="1" ySplit="5" topLeftCell="B6" activePane="bottomRight" state="frozen"/>
      <selection activeCell="Q31" sqref="Q31"/>
      <selection pane="topRight" activeCell="Q31" sqref="Q31"/>
      <selection pane="bottomLeft" activeCell="Q31" sqref="Q31"/>
      <selection pane="bottomRight" activeCell="D19" sqref="D19:D23"/>
    </sheetView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22" t="s">
        <v>115</v>
      </c>
      <c r="B2" s="122"/>
      <c r="C2" s="122"/>
      <c r="D2" s="12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7</v>
      </c>
      <c r="B4" s="11" t="s">
        <v>65</v>
      </c>
      <c r="C4" s="11" t="s">
        <v>7</v>
      </c>
      <c r="D4" s="11" t="s">
        <v>65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20</v>
      </c>
      <c r="B6" s="41">
        <f t="shared" ref="B6" si="0">B7+B19+B17</f>
        <v>36529476</v>
      </c>
      <c r="C6" s="40" t="s">
        <v>74</v>
      </c>
      <c r="D6" s="42">
        <f>D7+D8+D18</f>
        <v>103863614</v>
      </c>
      <c r="E6" s="8"/>
      <c r="F6" s="2"/>
      <c r="G6" s="2"/>
      <c r="H6" s="2"/>
      <c r="I6" s="2"/>
    </row>
    <row r="7" spans="1:9" s="10" customFormat="1" ht="15.75">
      <c r="A7" s="19" t="s">
        <v>10</v>
      </c>
      <c r="B7" s="26">
        <f>SUM(B8:B16)</f>
        <v>18918900</v>
      </c>
      <c r="C7" s="19" t="s">
        <v>2</v>
      </c>
      <c r="D7" s="19"/>
      <c r="E7" s="45"/>
      <c r="F7" s="9"/>
      <c r="G7" s="9"/>
      <c r="H7" s="9"/>
      <c r="I7" s="9"/>
    </row>
    <row r="8" spans="1:9" ht="15.75">
      <c r="A8" s="49" t="s">
        <v>30</v>
      </c>
      <c r="B8" s="65"/>
      <c r="C8" s="19" t="s">
        <v>47</v>
      </c>
      <c r="D8" s="26">
        <f>SUM(D9:D17)</f>
        <v>69162729</v>
      </c>
      <c r="E8" s="8"/>
      <c r="F8" s="2"/>
      <c r="G8" s="2"/>
      <c r="H8" s="2"/>
      <c r="I8" s="2"/>
    </row>
    <row r="9" spans="1:9" ht="14.25">
      <c r="A9" s="51" t="s">
        <v>31</v>
      </c>
      <c r="B9" s="64"/>
      <c r="C9" s="49" t="s">
        <v>53</v>
      </c>
      <c r="D9" s="64">
        <f>24950428</f>
        <v>24950428</v>
      </c>
      <c r="E9" s="8"/>
      <c r="F9" s="2"/>
      <c r="G9" s="2"/>
      <c r="H9" s="2"/>
      <c r="I9" s="2"/>
    </row>
    <row r="10" spans="1:9" ht="14.25">
      <c r="A10" s="51" t="s">
        <v>33</v>
      </c>
      <c r="B10" s="64">
        <v>3465000</v>
      </c>
      <c r="C10" s="49" t="s">
        <v>54</v>
      </c>
      <c r="D10" s="64">
        <v>600000</v>
      </c>
      <c r="E10" s="8"/>
      <c r="F10" s="2"/>
      <c r="G10" s="2"/>
      <c r="H10" s="2"/>
      <c r="I10" s="2"/>
    </row>
    <row r="11" spans="1:9" ht="14.25">
      <c r="A11" s="51" t="s">
        <v>46</v>
      </c>
      <c r="B11" s="64">
        <v>4060400</v>
      </c>
      <c r="C11" s="49" t="s">
        <v>55</v>
      </c>
      <c r="D11" s="64">
        <f>1506780+10481521</f>
        <v>11988301</v>
      </c>
      <c r="E11" s="8"/>
      <c r="F11" s="2"/>
      <c r="G11" s="2"/>
      <c r="H11" s="2"/>
      <c r="I11" s="2"/>
    </row>
    <row r="12" spans="1:9" ht="14.25">
      <c r="A12" s="51" t="s">
        <v>34</v>
      </c>
      <c r="B12" s="64">
        <v>1950000</v>
      </c>
      <c r="C12" s="49" t="s">
        <v>35</v>
      </c>
      <c r="D12" s="64">
        <v>21684000</v>
      </c>
      <c r="E12" s="8"/>
      <c r="F12" s="2"/>
      <c r="G12" s="2"/>
      <c r="H12" s="2"/>
      <c r="I12" s="2"/>
    </row>
    <row r="13" spans="1:9" ht="14.25">
      <c r="A13" s="51" t="s">
        <v>32</v>
      </c>
      <c r="B13" s="64">
        <v>7232500</v>
      </c>
      <c r="C13" s="49" t="s">
        <v>36</v>
      </c>
      <c r="D13" s="64">
        <v>2950000</v>
      </c>
      <c r="E13" s="8"/>
      <c r="F13" s="2"/>
      <c r="G13" s="2"/>
      <c r="H13" s="2"/>
      <c r="I13" s="2"/>
    </row>
    <row r="14" spans="1:9" ht="14.25">
      <c r="A14" s="51" t="s">
        <v>37</v>
      </c>
      <c r="B14" s="64">
        <v>2211000</v>
      </c>
      <c r="C14" s="49" t="s">
        <v>38</v>
      </c>
      <c r="D14" s="64">
        <v>2940000</v>
      </c>
      <c r="E14" s="8"/>
      <c r="F14" s="2"/>
      <c r="G14" s="2"/>
      <c r="H14" s="2"/>
      <c r="I14" s="2"/>
    </row>
    <row r="15" spans="1:9" ht="14.25">
      <c r="A15" s="51" t="s">
        <v>59</v>
      </c>
      <c r="B15" s="64"/>
      <c r="C15" s="49" t="s">
        <v>58</v>
      </c>
      <c r="D15" s="64"/>
      <c r="E15" s="8"/>
      <c r="F15" s="2"/>
      <c r="G15" s="2"/>
      <c r="H15" s="2"/>
      <c r="I15" s="2"/>
    </row>
    <row r="16" spans="1:9" ht="14.25">
      <c r="A16" s="51" t="s">
        <v>87</v>
      </c>
      <c r="B16" s="64"/>
      <c r="C16" s="49" t="s">
        <v>88</v>
      </c>
      <c r="D16" s="64">
        <v>4050000</v>
      </c>
      <c r="E16" s="8"/>
      <c r="F16" s="2"/>
      <c r="G16" s="2"/>
      <c r="H16" s="2"/>
      <c r="I16" s="2"/>
    </row>
    <row r="17" spans="1:9" s="10" customFormat="1" ht="15.75">
      <c r="A17" s="19" t="s">
        <v>41</v>
      </c>
      <c r="B17" s="26">
        <f t="shared" ref="B17" si="1">SUM(B18:B18)</f>
        <v>17600000</v>
      </c>
      <c r="C17" s="49" t="s">
        <v>1</v>
      </c>
      <c r="D17" s="64"/>
      <c r="E17" s="45"/>
      <c r="F17" s="9"/>
      <c r="G17" s="9"/>
      <c r="H17" s="9"/>
    </row>
    <row r="18" spans="1:9" ht="15.75">
      <c r="A18" s="17" t="s">
        <v>21</v>
      </c>
      <c r="B18" s="65">
        <v>17600000</v>
      </c>
      <c r="C18" s="19" t="s">
        <v>73</v>
      </c>
      <c r="D18" s="26">
        <f>SUM(D19:D23)</f>
        <v>34700885</v>
      </c>
      <c r="E18" s="8"/>
      <c r="F18" s="2"/>
      <c r="G18" s="2"/>
      <c r="H18" s="2"/>
      <c r="I18" s="2"/>
    </row>
    <row r="19" spans="1:9" s="10" customFormat="1" ht="15.75">
      <c r="A19" s="19" t="s">
        <v>42</v>
      </c>
      <c r="B19" s="62">
        <v>10576</v>
      </c>
      <c r="C19" s="17" t="s">
        <v>27</v>
      </c>
      <c r="D19" s="64">
        <v>5711000</v>
      </c>
      <c r="E19" s="45"/>
      <c r="F19" s="9"/>
      <c r="G19" s="9"/>
      <c r="H19" s="9"/>
      <c r="I19" s="9"/>
    </row>
    <row r="20" spans="1:9" ht="14.25">
      <c r="A20" s="43"/>
      <c r="B20" s="43"/>
      <c r="C20" s="17" t="s">
        <v>39</v>
      </c>
      <c r="D20" s="61">
        <v>6867650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40</v>
      </c>
      <c r="D21" s="64">
        <v>1639235</v>
      </c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15</v>
      </c>
      <c r="D22" s="64">
        <v>33000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1</v>
      </c>
      <c r="D23" s="64">
        <v>20450000</v>
      </c>
      <c r="E23" s="8"/>
      <c r="F23" s="2"/>
      <c r="G23" s="2"/>
      <c r="H23" s="2"/>
      <c r="I23" s="2"/>
    </row>
    <row r="24" spans="1:9" s="6" customFormat="1" ht="17.25">
      <c r="A24" s="31" t="s">
        <v>70</v>
      </c>
      <c r="B24" s="123">
        <f>B6-D6</f>
        <v>-67334138</v>
      </c>
      <c r="C24" s="123"/>
      <c r="D24" s="12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>
      <pane xSplit="1" ySplit="5" topLeftCell="B6" activePane="bottomRight" state="frozen"/>
      <selection activeCell="Q31" sqref="Q31"/>
      <selection pane="topRight" activeCell="Q31" sqref="Q31"/>
      <selection pane="bottomLeft" activeCell="Q31" sqref="Q31"/>
      <selection pane="bottomRight" activeCell="D19" sqref="D19:D23"/>
    </sheetView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22" t="s">
        <v>116</v>
      </c>
      <c r="B2" s="122"/>
      <c r="C2" s="122"/>
      <c r="D2" s="12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7</v>
      </c>
      <c r="B4" s="11" t="s">
        <v>65</v>
      </c>
      <c r="C4" s="11" t="s">
        <v>7</v>
      </c>
      <c r="D4" s="11" t="s">
        <v>65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20</v>
      </c>
      <c r="B6" s="41">
        <f t="shared" ref="B6" si="0">B7+B19+B17</f>
        <v>21131339</v>
      </c>
      <c r="C6" s="40" t="s">
        <v>74</v>
      </c>
      <c r="D6" s="42">
        <f>D7+D8+D18</f>
        <v>15877010</v>
      </c>
      <c r="E6" s="8"/>
      <c r="F6" s="2"/>
      <c r="G6" s="2"/>
      <c r="H6" s="2"/>
      <c r="I6" s="2"/>
    </row>
    <row r="7" spans="1:9" s="10" customFormat="1" ht="15.75">
      <c r="A7" s="19" t="s">
        <v>10</v>
      </c>
      <c r="B7" s="26">
        <f>SUM(B8:B16)</f>
        <v>21121003</v>
      </c>
      <c r="C7" s="19" t="s">
        <v>2</v>
      </c>
      <c r="D7" s="19"/>
      <c r="E7" s="45"/>
      <c r="F7" s="9"/>
      <c r="G7" s="9"/>
      <c r="H7" s="9"/>
      <c r="I7" s="9"/>
    </row>
    <row r="8" spans="1:9" ht="15.75">
      <c r="A8" s="49" t="s">
        <v>30</v>
      </c>
      <c r="B8" s="65"/>
      <c r="C8" s="19" t="s">
        <v>47</v>
      </c>
      <c r="D8" s="26">
        <f>SUM(D9:D17)</f>
        <v>136360</v>
      </c>
      <c r="E8" s="8"/>
      <c r="F8" s="2"/>
      <c r="G8" s="2"/>
      <c r="H8" s="2"/>
      <c r="I8" s="2"/>
    </row>
    <row r="9" spans="1:9" ht="14.25">
      <c r="A9" s="51" t="s">
        <v>31</v>
      </c>
      <c r="B9" s="64">
        <v>9333003</v>
      </c>
      <c r="C9" s="49" t="s">
        <v>53</v>
      </c>
      <c r="D9" s="64">
        <v>40000</v>
      </c>
      <c r="E9" s="8"/>
      <c r="F9" s="2"/>
      <c r="G9" s="2"/>
      <c r="H9" s="2"/>
      <c r="I9" s="2"/>
    </row>
    <row r="10" spans="1:9" ht="14.25">
      <c r="A10" s="51" t="s">
        <v>33</v>
      </c>
      <c r="B10" s="64"/>
      <c r="C10" s="49" t="s">
        <v>54</v>
      </c>
      <c r="D10" s="64"/>
      <c r="E10" s="8"/>
      <c r="F10" s="2"/>
      <c r="G10" s="2"/>
      <c r="H10" s="2"/>
      <c r="I10" s="2"/>
    </row>
    <row r="11" spans="1:9" ht="14.25">
      <c r="A11" s="51" t="s">
        <v>46</v>
      </c>
      <c r="B11" s="64">
        <v>5161000</v>
      </c>
      <c r="C11" s="49" t="s">
        <v>55</v>
      </c>
      <c r="D11" s="65">
        <v>96360</v>
      </c>
      <c r="E11" s="8"/>
      <c r="F11" s="2"/>
      <c r="G11" s="2"/>
      <c r="H11" s="2"/>
      <c r="I11" s="2"/>
    </row>
    <row r="12" spans="1:9" ht="14.25">
      <c r="A12" s="51" t="s">
        <v>34</v>
      </c>
      <c r="B12" s="64">
        <v>5615000</v>
      </c>
      <c r="C12" s="49" t="s">
        <v>35</v>
      </c>
      <c r="D12" s="64"/>
      <c r="E12" s="8"/>
      <c r="F12" s="2"/>
      <c r="G12" s="2"/>
      <c r="H12" s="2"/>
      <c r="I12" s="2"/>
    </row>
    <row r="13" spans="1:9" ht="14.25">
      <c r="A13" s="51" t="s">
        <v>32</v>
      </c>
      <c r="B13" s="64">
        <v>1012000</v>
      </c>
      <c r="C13" s="49" t="s">
        <v>36</v>
      </c>
      <c r="D13" s="64"/>
      <c r="E13" s="8"/>
      <c r="F13" s="2"/>
      <c r="G13" s="2"/>
      <c r="H13" s="2"/>
      <c r="I13" s="2"/>
    </row>
    <row r="14" spans="1:9" ht="14.25">
      <c r="A14" s="51" t="s">
        <v>37</v>
      </c>
      <c r="B14" s="64"/>
      <c r="C14" s="49" t="s">
        <v>38</v>
      </c>
      <c r="D14" s="64"/>
      <c r="E14" s="8"/>
      <c r="F14" s="2"/>
      <c r="G14" s="2"/>
      <c r="H14" s="2"/>
      <c r="I14" s="2"/>
    </row>
    <row r="15" spans="1:9" ht="14.25">
      <c r="A15" s="51" t="s">
        <v>59</v>
      </c>
      <c r="B15" s="64"/>
      <c r="C15" s="49" t="s">
        <v>58</v>
      </c>
      <c r="D15" s="64"/>
      <c r="E15" s="8"/>
      <c r="F15" s="2"/>
      <c r="G15" s="2"/>
      <c r="H15" s="2"/>
      <c r="I15" s="2"/>
    </row>
    <row r="16" spans="1:9" ht="14.25">
      <c r="A16" s="51" t="s">
        <v>87</v>
      </c>
      <c r="B16" s="64"/>
      <c r="C16" s="49" t="s">
        <v>88</v>
      </c>
      <c r="D16" s="64"/>
      <c r="E16" s="8"/>
      <c r="F16" s="2"/>
      <c r="G16" s="2"/>
      <c r="H16" s="2"/>
      <c r="I16" s="2"/>
    </row>
    <row r="17" spans="1:9" s="10" customFormat="1" ht="15.75">
      <c r="A17" s="19" t="s">
        <v>41</v>
      </c>
      <c r="B17" s="26">
        <f t="shared" ref="B17" si="1">SUM(B18:B18)</f>
        <v>0</v>
      </c>
      <c r="C17" s="49" t="s">
        <v>1</v>
      </c>
      <c r="D17" s="64"/>
      <c r="E17" s="45"/>
      <c r="F17" s="9"/>
      <c r="G17" s="9"/>
      <c r="H17" s="9"/>
    </row>
    <row r="18" spans="1:9" ht="15.75">
      <c r="A18" s="17" t="s">
        <v>21</v>
      </c>
      <c r="B18" s="65"/>
      <c r="C18" s="19" t="s">
        <v>73</v>
      </c>
      <c r="D18" s="26">
        <f>SUM(D19:D23)</f>
        <v>15740650</v>
      </c>
      <c r="E18" s="8"/>
      <c r="F18" s="2"/>
      <c r="G18" s="2"/>
      <c r="H18" s="2"/>
      <c r="I18" s="2"/>
    </row>
    <row r="19" spans="1:9" s="10" customFormat="1" ht="15.75">
      <c r="A19" s="19" t="s">
        <v>42</v>
      </c>
      <c r="B19" s="62">
        <v>10336</v>
      </c>
      <c r="C19" s="17" t="s">
        <v>27</v>
      </c>
      <c r="D19" s="64">
        <f>4247000+4193000</f>
        <v>8440000</v>
      </c>
      <c r="E19" s="45"/>
      <c r="F19" s="9"/>
      <c r="G19" s="9"/>
      <c r="H19" s="9"/>
      <c r="I19" s="9"/>
    </row>
    <row r="20" spans="1:9" ht="14.25">
      <c r="A20" s="43"/>
      <c r="B20" s="43"/>
      <c r="C20" s="17" t="s">
        <v>39</v>
      </c>
      <c r="D20" s="61">
        <v>6867650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40</v>
      </c>
      <c r="D21" s="64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15</v>
      </c>
      <c r="D22" s="64">
        <f>33000</f>
        <v>33000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1</v>
      </c>
      <c r="D23" s="64">
        <f>400000</f>
        <v>400000</v>
      </c>
      <c r="E23" s="8"/>
      <c r="F23" s="2"/>
      <c r="G23" s="2"/>
      <c r="H23" s="2"/>
      <c r="I23" s="2"/>
    </row>
    <row r="24" spans="1:9" s="6" customFormat="1" ht="17.25">
      <c r="A24" s="31" t="s">
        <v>70</v>
      </c>
      <c r="B24" s="123">
        <f>B6-D6</f>
        <v>5254329</v>
      </c>
      <c r="C24" s="123"/>
      <c r="D24" s="12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>
      <pane xSplit="1" ySplit="5" topLeftCell="B6" activePane="bottomRight" state="frozen"/>
      <selection activeCell="Q31" sqref="Q31"/>
      <selection pane="topRight" activeCell="Q31" sqref="Q31"/>
      <selection pane="bottomLeft" activeCell="Q31" sqref="Q31"/>
      <selection pane="bottomRight" activeCell="C17" sqref="C17"/>
    </sheetView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22" t="s">
        <v>117</v>
      </c>
      <c r="B2" s="122"/>
      <c r="C2" s="122"/>
      <c r="D2" s="12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7</v>
      </c>
      <c r="B4" s="11" t="s">
        <v>65</v>
      </c>
      <c r="C4" s="11" t="s">
        <v>7</v>
      </c>
      <c r="D4" s="11" t="s">
        <v>65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20</v>
      </c>
      <c r="B6" s="41">
        <f t="shared" ref="B6" si="0">B7+B19+B17</f>
        <v>182310268</v>
      </c>
      <c r="C6" s="40" t="s">
        <v>74</v>
      </c>
      <c r="D6" s="42">
        <f>D7+D8+D18</f>
        <v>160022631</v>
      </c>
      <c r="E6" s="8"/>
      <c r="F6" s="2"/>
      <c r="G6" s="2"/>
      <c r="H6" s="2"/>
      <c r="I6" s="2"/>
    </row>
    <row r="7" spans="1:9" s="10" customFormat="1" ht="15.75">
      <c r="A7" s="19" t="s">
        <v>10</v>
      </c>
      <c r="B7" s="26">
        <f>SUM(B8:B16)</f>
        <v>182299033</v>
      </c>
      <c r="C7" s="19" t="s">
        <v>2</v>
      </c>
      <c r="D7" s="19"/>
      <c r="E7" s="45"/>
      <c r="F7" s="9"/>
      <c r="G7" s="9"/>
      <c r="H7" s="9"/>
      <c r="I7" s="9"/>
    </row>
    <row r="8" spans="1:9" ht="15.75">
      <c r="A8" s="49" t="s">
        <v>30</v>
      </c>
      <c r="B8" s="65"/>
      <c r="C8" s="19" t="s">
        <v>47</v>
      </c>
      <c r="D8" s="26">
        <f>SUM(D9:D17)</f>
        <v>114987481</v>
      </c>
      <c r="E8" s="8"/>
      <c r="F8" s="2"/>
      <c r="G8" s="2"/>
      <c r="H8" s="2"/>
      <c r="I8" s="2"/>
    </row>
    <row r="9" spans="1:9" ht="14.25">
      <c r="A9" s="51" t="s">
        <v>31</v>
      </c>
      <c r="B9" s="64">
        <v>84441033</v>
      </c>
      <c r="C9" s="49" t="s">
        <v>53</v>
      </c>
      <c r="D9" s="64">
        <v>66792821</v>
      </c>
      <c r="E9" s="8"/>
      <c r="F9" s="2"/>
      <c r="G9" s="2"/>
      <c r="H9" s="2"/>
      <c r="I9" s="2"/>
    </row>
    <row r="10" spans="1:9" ht="14.25">
      <c r="A10" s="51" t="s">
        <v>33</v>
      </c>
      <c r="B10" s="64"/>
      <c r="C10" s="49" t="s">
        <v>54</v>
      </c>
      <c r="D10" s="64"/>
      <c r="E10" s="8"/>
      <c r="F10" s="2"/>
      <c r="G10" s="2"/>
      <c r="H10" s="2"/>
      <c r="I10" s="2"/>
    </row>
    <row r="11" spans="1:9" ht="14.25">
      <c r="A11" s="51" t="s">
        <v>46</v>
      </c>
      <c r="B11" s="64">
        <v>4411000</v>
      </c>
      <c r="C11" s="49" t="s">
        <v>55</v>
      </c>
      <c r="D11" s="64">
        <v>71280</v>
      </c>
      <c r="E11" s="8"/>
      <c r="F11" s="2"/>
      <c r="G11" s="2"/>
      <c r="H11" s="2"/>
      <c r="I11" s="2"/>
    </row>
    <row r="12" spans="1:9" ht="14.25">
      <c r="A12" s="51" t="s">
        <v>34</v>
      </c>
      <c r="B12" s="64">
        <v>12670000</v>
      </c>
      <c r="C12" s="49" t="s">
        <v>35</v>
      </c>
      <c r="D12" s="64">
        <v>10491000</v>
      </c>
      <c r="E12" s="8"/>
      <c r="F12" s="2"/>
      <c r="G12" s="2"/>
      <c r="H12" s="2"/>
      <c r="I12" s="2"/>
    </row>
    <row r="13" spans="1:9" ht="14.25">
      <c r="A13" s="51" t="s">
        <v>32</v>
      </c>
      <c r="B13" s="64">
        <v>40040000</v>
      </c>
      <c r="C13" s="49" t="s">
        <v>36</v>
      </c>
      <c r="D13" s="64">
        <v>28395000</v>
      </c>
      <c r="E13" s="8"/>
      <c r="F13" s="2"/>
      <c r="G13" s="2"/>
      <c r="H13" s="2"/>
      <c r="I13" s="2"/>
    </row>
    <row r="14" spans="1:9" ht="14.25">
      <c r="A14" s="51" t="s">
        <v>37</v>
      </c>
      <c r="B14" s="64">
        <v>40737000</v>
      </c>
      <c r="C14" s="49" t="s">
        <v>38</v>
      </c>
      <c r="D14" s="64">
        <v>5505600</v>
      </c>
      <c r="E14" s="8"/>
      <c r="F14" s="2"/>
      <c r="G14" s="2"/>
      <c r="H14" s="2"/>
      <c r="I14" s="2"/>
    </row>
    <row r="15" spans="1:9" ht="14.25">
      <c r="A15" s="51" t="s">
        <v>59</v>
      </c>
      <c r="B15" s="64"/>
      <c r="C15" s="49" t="s">
        <v>58</v>
      </c>
      <c r="D15" s="64"/>
      <c r="E15" s="8"/>
      <c r="F15" s="2"/>
      <c r="G15" s="2"/>
      <c r="H15" s="2"/>
      <c r="I15" s="2"/>
    </row>
    <row r="16" spans="1:9" ht="14.25">
      <c r="A16" s="51" t="s">
        <v>87</v>
      </c>
      <c r="B16" s="64"/>
      <c r="C16" s="49" t="s">
        <v>88</v>
      </c>
      <c r="D16" s="64">
        <v>21780</v>
      </c>
      <c r="E16" s="8"/>
      <c r="F16" s="2"/>
      <c r="G16" s="2"/>
      <c r="H16" s="2"/>
      <c r="I16" s="2"/>
    </row>
    <row r="17" spans="1:9" s="10" customFormat="1" ht="15.75">
      <c r="A17" s="19" t="s">
        <v>41</v>
      </c>
      <c r="B17" s="26">
        <f t="shared" ref="B17" si="1">SUM(B18:B18)</f>
        <v>0</v>
      </c>
      <c r="C17" s="49" t="s">
        <v>1</v>
      </c>
      <c r="D17" s="64">
        <v>3710000</v>
      </c>
      <c r="E17" s="45"/>
      <c r="F17" s="9"/>
      <c r="G17" s="9"/>
      <c r="H17" s="9"/>
    </row>
    <row r="18" spans="1:9" ht="15.75">
      <c r="A18" s="17" t="s">
        <v>21</v>
      </c>
      <c r="B18" s="65"/>
      <c r="C18" s="19" t="s">
        <v>73</v>
      </c>
      <c r="D18" s="26">
        <f>SUM(D19:D23)</f>
        <v>45035150</v>
      </c>
      <c r="E18" s="8"/>
      <c r="F18" s="2"/>
      <c r="G18" s="2"/>
      <c r="H18" s="2"/>
      <c r="I18" s="2"/>
    </row>
    <row r="19" spans="1:9" s="10" customFormat="1" ht="15.75">
      <c r="A19" s="19" t="s">
        <v>42</v>
      </c>
      <c r="B19" s="62">
        <v>11235</v>
      </c>
      <c r="C19" s="17" t="s">
        <v>27</v>
      </c>
      <c r="D19" s="64">
        <v>17718000</v>
      </c>
      <c r="E19" s="45"/>
      <c r="F19" s="9"/>
      <c r="G19" s="9"/>
      <c r="H19" s="9"/>
      <c r="I19" s="9"/>
    </row>
    <row r="20" spans="1:9" ht="14.25">
      <c r="A20" s="43"/>
      <c r="B20" s="43"/>
      <c r="C20" s="17" t="s">
        <v>39</v>
      </c>
      <c r="D20" s="64">
        <v>6867650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40</v>
      </c>
      <c r="D21" s="64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15</v>
      </c>
      <c r="D22" s="64">
        <f>11000+38500</f>
        <v>49500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1</v>
      </c>
      <c r="D23" s="64">
        <v>20400000</v>
      </c>
      <c r="E23" s="8"/>
      <c r="F23" s="2"/>
      <c r="G23" s="2"/>
      <c r="H23" s="2"/>
      <c r="I23" s="2"/>
    </row>
    <row r="24" spans="1:9" s="6" customFormat="1" ht="17.25">
      <c r="A24" s="31" t="s">
        <v>70</v>
      </c>
      <c r="B24" s="123">
        <f>B6-D6</f>
        <v>22287637</v>
      </c>
      <c r="C24" s="123"/>
      <c r="D24" s="12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rgb="FF00FFFF"/>
  </sheetPr>
  <dimension ref="A1:E64"/>
  <sheetViews>
    <sheetView workbookViewId="0">
      <selection activeCell="E35" sqref="E35"/>
    </sheetView>
  </sheetViews>
  <sheetFormatPr defaultRowHeight="12.75"/>
  <cols>
    <col min="1" max="1" width="40.42578125" style="7" customWidth="1"/>
    <col min="2" max="2" width="17.85546875" style="7" customWidth="1"/>
    <col min="3" max="3" width="39.5703125" style="14" customWidth="1"/>
    <col min="4" max="4" width="21.140625" style="7" customWidth="1"/>
    <col min="5" max="16384" width="9.140625" style="7"/>
  </cols>
  <sheetData>
    <row r="1" spans="1:5" ht="31.5" customHeight="1">
      <c r="A1" s="122" t="s">
        <v>80</v>
      </c>
      <c r="B1" s="122"/>
      <c r="C1" s="122"/>
      <c r="D1" s="122"/>
      <c r="E1" s="2"/>
    </row>
    <row r="2" spans="1:5" ht="13.5" customHeight="1">
      <c r="A2" s="34"/>
      <c r="B2" s="34"/>
      <c r="C2" s="34"/>
      <c r="D2" s="34"/>
      <c r="E2" s="2"/>
    </row>
    <row r="3" spans="1:5" ht="15.75">
      <c r="A3" s="11" t="s">
        <v>7</v>
      </c>
      <c r="B3" s="11" t="s">
        <v>65</v>
      </c>
      <c r="C3" s="11" t="s">
        <v>7</v>
      </c>
      <c r="D3" s="11" t="s">
        <v>65</v>
      </c>
      <c r="E3" s="2"/>
    </row>
    <row r="4" spans="1:5" ht="15.75">
      <c r="A4" s="12">
        <v>1</v>
      </c>
      <c r="B4" s="12">
        <v>2</v>
      </c>
      <c r="C4" s="22">
        <v>3</v>
      </c>
      <c r="D4" s="22">
        <v>4</v>
      </c>
      <c r="E4" s="2"/>
    </row>
    <row r="5" spans="1:5" ht="15.75">
      <c r="A5" s="24" t="s">
        <v>20</v>
      </c>
      <c r="B5" s="25">
        <f>B6+B18+B19</f>
        <v>746406973</v>
      </c>
      <c r="C5" s="24" t="s">
        <v>69</v>
      </c>
      <c r="D5" s="25">
        <f>D6+D9+D17+D25+D33+D34+D37</f>
        <v>185828941</v>
      </c>
      <c r="E5" s="2"/>
    </row>
    <row r="6" spans="1:5" s="10" customFormat="1" ht="15.75">
      <c r="A6" s="19" t="s">
        <v>10</v>
      </c>
      <c r="B6" s="26">
        <f>B7+B11+B15</f>
        <v>743664312</v>
      </c>
      <c r="C6" s="19" t="s">
        <v>2</v>
      </c>
      <c r="D6" s="19">
        <f>SUM(D7:D8)</f>
        <v>29354937</v>
      </c>
      <c r="E6" s="9"/>
    </row>
    <row r="7" spans="1:5" s="16" customFormat="1" ht="15.75">
      <c r="A7" s="27" t="s">
        <v>8</v>
      </c>
      <c r="B7" s="27">
        <f t="shared" ref="B7" si="0">SUM(B8:B10)</f>
        <v>188856280</v>
      </c>
      <c r="C7" s="17" t="s">
        <v>6</v>
      </c>
      <c r="D7" s="51">
        <v>15746702</v>
      </c>
      <c r="E7" s="15"/>
    </row>
    <row r="8" spans="1:5" ht="14.25">
      <c r="A8" s="17" t="s">
        <v>48</v>
      </c>
      <c r="B8" s="49">
        <v>168648825</v>
      </c>
      <c r="C8" s="17" t="s">
        <v>29</v>
      </c>
      <c r="D8" s="51">
        <v>13608235</v>
      </c>
      <c r="E8" s="2"/>
    </row>
    <row r="9" spans="1:5" ht="15.75">
      <c r="A9" s="17" t="s">
        <v>49</v>
      </c>
      <c r="B9" s="49">
        <v>17827455</v>
      </c>
      <c r="C9" s="19" t="s">
        <v>66</v>
      </c>
      <c r="D9" s="28">
        <f t="shared" ref="D9" si="1">SUM(D10:D16)</f>
        <v>16609183</v>
      </c>
      <c r="E9" s="2"/>
    </row>
    <row r="10" spans="1:5" ht="14.25">
      <c r="A10" s="17" t="s">
        <v>50</v>
      </c>
      <c r="B10" s="49">
        <v>2380000</v>
      </c>
      <c r="C10" s="17" t="s">
        <v>11</v>
      </c>
      <c r="D10" s="51">
        <v>15216383</v>
      </c>
      <c r="E10" s="2"/>
    </row>
    <row r="11" spans="1:5" s="16" customFormat="1" ht="15.75">
      <c r="A11" s="27" t="s">
        <v>9</v>
      </c>
      <c r="B11" s="27">
        <f t="shared" ref="B11" si="2">SUM(B12:B14)</f>
        <v>554808032</v>
      </c>
      <c r="C11" s="17" t="s">
        <v>12</v>
      </c>
      <c r="D11" s="51"/>
      <c r="E11" s="15"/>
    </row>
    <row r="12" spans="1:5" ht="14.25">
      <c r="A12" s="17" t="s">
        <v>48</v>
      </c>
      <c r="B12" s="17">
        <v>497530568</v>
      </c>
      <c r="C12" s="17" t="s">
        <v>13</v>
      </c>
      <c r="D12" s="51">
        <v>992800</v>
      </c>
      <c r="E12" s="2"/>
    </row>
    <row r="13" spans="1:5" ht="14.25">
      <c r="A13" s="17" t="s">
        <v>49</v>
      </c>
      <c r="B13" s="17">
        <v>49276664</v>
      </c>
      <c r="C13" s="17" t="s">
        <v>26</v>
      </c>
      <c r="D13" s="51"/>
      <c r="E13" s="2"/>
    </row>
    <row r="14" spans="1:5" ht="14.25">
      <c r="A14" s="17" t="s">
        <v>51</v>
      </c>
      <c r="B14" s="17">
        <v>8000800</v>
      </c>
      <c r="C14" s="17" t="s">
        <v>44</v>
      </c>
      <c r="D14" s="49"/>
      <c r="E14" s="2"/>
    </row>
    <row r="15" spans="1:5" ht="15.75">
      <c r="A15" s="27" t="s">
        <v>61</v>
      </c>
      <c r="B15" s="27">
        <f t="shared" ref="B15" si="3">SUM(B16:B17)</f>
        <v>0</v>
      </c>
      <c r="C15" s="17" t="s">
        <v>25</v>
      </c>
      <c r="D15" s="53"/>
      <c r="E15" s="2"/>
    </row>
    <row r="16" spans="1:5" ht="14.25">
      <c r="A16" s="17" t="s">
        <v>62</v>
      </c>
      <c r="B16" s="17"/>
      <c r="C16" s="17" t="s">
        <v>14</v>
      </c>
      <c r="D16" s="51">
        <v>400000</v>
      </c>
      <c r="E16" s="2"/>
    </row>
    <row r="17" spans="1:5" ht="15.75">
      <c r="A17" s="17" t="s">
        <v>63</v>
      </c>
      <c r="B17" s="17"/>
      <c r="C17" s="19" t="s">
        <v>67</v>
      </c>
      <c r="D17" s="26">
        <f t="shared" ref="D17" si="4">SUM(D18:D24)</f>
        <v>63095615</v>
      </c>
      <c r="E17" s="2"/>
    </row>
    <row r="18" spans="1:5" s="10" customFormat="1" ht="17.25" customHeight="1">
      <c r="A18" s="19" t="s">
        <v>18</v>
      </c>
      <c r="B18" s="52">
        <v>154161</v>
      </c>
      <c r="C18" s="17" t="s">
        <v>11</v>
      </c>
      <c r="D18" s="51">
        <v>26495068</v>
      </c>
      <c r="E18" s="9"/>
    </row>
    <row r="19" spans="1:5" s="10" customFormat="1" ht="15.75">
      <c r="A19" s="19" t="s">
        <v>19</v>
      </c>
      <c r="B19" s="26">
        <f>SUM(B20:B21)</f>
        <v>2588500</v>
      </c>
      <c r="C19" s="17" t="s">
        <v>12</v>
      </c>
      <c r="D19" s="51"/>
      <c r="E19" s="9"/>
    </row>
    <row r="20" spans="1:5" ht="14.25">
      <c r="A20" s="17" t="s">
        <v>21</v>
      </c>
      <c r="B20" s="49">
        <v>1188500</v>
      </c>
      <c r="C20" s="17" t="s">
        <v>13</v>
      </c>
      <c r="D20" s="51">
        <v>946594</v>
      </c>
      <c r="E20" s="2"/>
    </row>
    <row r="21" spans="1:5" ht="14.25">
      <c r="A21" s="17" t="s">
        <v>28</v>
      </c>
      <c r="B21" s="49">
        <v>1400000</v>
      </c>
      <c r="C21" s="17" t="s">
        <v>26</v>
      </c>
      <c r="D21" s="51">
        <v>4615000</v>
      </c>
      <c r="E21" s="2"/>
    </row>
    <row r="22" spans="1:5" ht="14.25">
      <c r="A22" s="20"/>
      <c r="B22" s="20"/>
      <c r="C22" s="17" t="s">
        <v>44</v>
      </c>
      <c r="D22" s="49"/>
      <c r="E22" s="2"/>
    </row>
    <row r="23" spans="1:5" s="10" customFormat="1" ht="14.25">
      <c r="A23" s="29"/>
      <c r="B23" s="29"/>
      <c r="C23" s="17" t="s">
        <v>25</v>
      </c>
      <c r="D23" s="51"/>
      <c r="E23" s="9"/>
    </row>
    <row r="24" spans="1:5" s="10" customFormat="1" ht="14.25">
      <c r="A24" s="29"/>
      <c r="B24" s="29"/>
      <c r="C24" s="17" t="s">
        <v>14</v>
      </c>
      <c r="D24" s="51">
        <f>10838953+20200000</f>
        <v>31038953</v>
      </c>
      <c r="E24" s="9"/>
    </row>
    <row r="25" spans="1:5" ht="15.75">
      <c r="A25" s="20"/>
      <c r="B25" s="20"/>
      <c r="C25" s="19" t="s">
        <v>3</v>
      </c>
      <c r="D25" s="26">
        <f t="shared" ref="D25" si="5">SUM(D26:D32)</f>
        <v>9360796</v>
      </c>
      <c r="E25" s="2"/>
    </row>
    <row r="26" spans="1:5" ht="14.25">
      <c r="A26" s="20"/>
      <c r="B26" s="20"/>
      <c r="C26" s="17" t="s">
        <v>27</v>
      </c>
      <c r="D26" s="51"/>
      <c r="E26" s="2"/>
    </row>
    <row r="27" spans="1:5" ht="14.25">
      <c r="A27" s="20"/>
      <c r="B27" s="20"/>
      <c r="C27" s="17" t="s">
        <v>15</v>
      </c>
      <c r="D27" s="51">
        <v>27500</v>
      </c>
      <c r="E27" s="2"/>
    </row>
    <row r="28" spans="1:5" ht="14.25">
      <c r="A28" s="20"/>
      <c r="B28" s="20"/>
      <c r="C28" s="17" t="s">
        <v>16</v>
      </c>
      <c r="D28" s="51"/>
      <c r="E28" s="2"/>
    </row>
    <row r="29" spans="1:5" ht="14.25">
      <c r="A29" s="20"/>
      <c r="B29" s="20"/>
      <c r="C29" s="17" t="s">
        <v>17</v>
      </c>
      <c r="D29" s="51"/>
      <c r="E29" s="2"/>
    </row>
    <row r="30" spans="1:5" ht="14.25">
      <c r="A30" s="20"/>
      <c r="B30" s="20"/>
      <c r="C30" s="17" t="s">
        <v>45</v>
      </c>
      <c r="D30" s="51">
        <v>2000000</v>
      </c>
      <c r="E30" s="2"/>
    </row>
    <row r="31" spans="1:5" ht="14.25">
      <c r="A31" s="20"/>
      <c r="B31" s="20"/>
      <c r="C31" s="17" t="s">
        <v>26</v>
      </c>
      <c r="D31" s="51"/>
      <c r="E31" s="2"/>
    </row>
    <row r="32" spans="1:5" s="10" customFormat="1" ht="14.25">
      <c r="A32" s="29"/>
      <c r="B32" s="29"/>
      <c r="C32" s="17" t="s">
        <v>14</v>
      </c>
      <c r="D32" s="51">
        <v>7333296</v>
      </c>
      <c r="E32" s="9"/>
    </row>
    <row r="33" spans="1:5" ht="15.75">
      <c r="A33" s="20"/>
      <c r="B33" s="20"/>
      <c r="C33" s="19" t="s">
        <v>4</v>
      </c>
      <c r="D33" s="54">
        <v>47592846</v>
      </c>
      <c r="E33" s="2"/>
    </row>
    <row r="34" spans="1:5" ht="15.75">
      <c r="A34" s="20"/>
      <c r="B34" s="20"/>
      <c r="C34" s="19" t="s">
        <v>5</v>
      </c>
      <c r="D34" s="19">
        <f t="shared" ref="D34" si="6">SUM(D35:D36)</f>
        <v>7823108</v>
      </c>
      <c r="E34" s="2"/>
    </row>
    <row r="35" spans="1:5" ht="14.25">
      <c r="A35" s="20"/>
      <c r="B35" s="20"/>
      <c r="C35" s="17" t="s">
        <v>36</v>
      </c>
      <c r="D35" s="18"/>
      <c r="E35" s="2"/>
    </row>
    <row r="36" spans="1:5" ht="14.25">
      <c r="A36" s="20"/>
      <c r="B36" s="20"/>
      <c r="C36" s="17" t="s">
        <v>64</v>
      </c>
      <c r="D36" s="18">
        <v>7823108</v>
      </c>
      <c r="E36" s="2"/>
    </row>
    <row r="37" spans="1:5" ht="15.75">
      <c r="A37" s="20"/>
      <c r="B37" s="20"/>
      <c r="C37" s="19" t="s">
        <v>68</v>
      </c>
      <c r="D37" s="26">
        <f>SUM(D38:D41)</f>
        <v>11992456</v>
      </c>
      <c r="E37" s="2"/>
    </row>
    <row r="38" spans="1:5" ht="14.25">
      <c r="A38" s="20"/>
      <c r="B38" s="20"/>
      <c r="C38" s="17" t="s">
        <v>22</v>
      </c>
      <c r="D38" s="51">
        <v>410051</v>
      </c>
      <c r="E38" s="2"/>
    </row>
    <row r="39" spans="1:5" ht="14.25">
      <c r="A39" s="20"/>
      <c r="B39" s="20"/>
      <c r="C39" s="17" t="s">
        <v>23</v>
      </c>
      <c r="D39" s="51">
        <v>11582405</v>
      </c>
      <c r="E39" s="2"/>
    </row>
    <row r="40" spans="1:5" ht="14.25">
      <c r="A40" s="20"/>
      <c r="B40" s="20"/>
      <c r="C40" s="17" t="s">
        <v>24</v>
      </c>
      <c r="D40" s="49"/>
      <c r="E40" s="2"/>
    </row>
    <row r="41" spans="1:5" ht="14.25">
      <c r="A41" s="20"/>
      <c r="B41" s="20"/>
      <c r="C41" s="17" t="s">
        <v>43</v>
      </c>
      <c r="D41" s="49"/>
      <c r="E41" s="2"/>
    </row>
    <row r="42" spans="1:5" s="6" customFormat="1" ht="17.25">
      <c r="A42" s="31" t="s">
        <v>70</v>
      </c>
      <c r="B42" s="123">
        <f>B5-D5</f>
        <v>560578032</v>
      </c>
      <c r="C42" s="123"/>
      <c r="D42" s="123"/>
      <c r="E42" s="21"/>
    </row>
    <row r="45" spans="1:5" ht="15.75">
      <c r="A45" s="33" t="s">
        <v>71</v>
      </c>
      <c r="B45" s="33" t="s">
        <v>72</v>
      </c>
    </row>
    <row r="46" spans="1:5" ht="16.5" customHeight="1">
      <c r="A46" s="35" t="s">
        <v>56</v>
      </c>
      <c r="B46" s="35">
        <v>833265250</v>
      </c>
    </row>
    <row r="47" spans="1:5" ht="16.5" customHeight="1">
      <c r="A47" s="17" t="s">
        <v>57</v>
      </c>
      <c r="B47" s="17">
        <v>1707000000</v>
      </c>
    </row>
    <row r="48" spans="1:5" ht="18" customHeight="1">
      <c r="A48" s="37" t="s">
        <v>60</v>
      </c>
      <c r="B48" s="36">
        <f>B46+B47</f>
        <v>2540265250</v>
      </c>
    </row>
    <row r="51" spans="1:2" ht="15.75">
      <c r="A51" s="33" t="s">
        <v>52</v>
      </c>
      <c r="B51" s="33" t="s">
        <v>72</v>
      </c>
    </row>
    <row r="52" spans="1:2" ht="19.5" customHeight="1">
      <c r="A52" s="32" t="s">
        <v>0</v>
      </c>
      <c r="B52" s="32">
        <v>21388920</v>
      </c>
    </row>
    <row r="53" spans="1:2" ht="19.5" customHeight="1">
      <c r="A53" s="32" t="s">
        <v>77</v>
      </c>
      <c r="B53" s="32">
        <v>8059500</v>
      </c>
    </row>
    <row r="54" spans="1:2" ht="19.5" customHeight="1">
      <c r="A54" s="17" t="s">
        <v>79</v>
      </c>
      <c r="B54" s="17">
        <v>6000000</v>
      </c>
    </row>
    <row r="55" spans="1:2" ht="19.5" customHeight="1">
      <c r="A55" s="17" t="s">
        <v>81</v>
      </c>
      <c r="B55" s="17">
        <v>150796800</v>
      </c>
    </row>
    <row r="56" spans="1:2" ht="19.5" customHeight="1">
      <c r="A56" s="17" t="s">
        <v>82</v>
      </c>
      <c r="B56" s="17">
        <v>25952880</v>
      </c>
    </row>
    <row r="57" spans="1:2" ht="15.75">
      <c r="A57" s="37" t="s">
        <v>60</v>
      </c>
      <c r="B57" s="36">
        <f>SUM(B52:B56)</f>
        <v>212198100</v>
      </c>
    </row>
    <row r="59" spans="1:2" ht="15.75">
      <c r="A59" s="47" t="s">
        <v>75</v>
      </c>
      <c r="B59" s="38"/>
    </row>
    <row r="60" spans="1:2">
      <c r="A60" s="23"/>
    </row>
    <row r="61" spans="1:2">
      <c r="A61" s="23"/>
    </row>
    <row r="62" spans="1:2">
      <c r="A62" s="23"/>
    </row>
    <row r="63" spans="1:2">
      <c r="A63" s="23"/>
    </row>
    <row r="64" spans="1:2" ht="15.75">
      <c r="A64" s="48" t="s">
        <v>76</v>
      </c>
    </row>
  </sheetData>
  <mergeCells count="2">
    <mergeCell ref="A1:D1"/>
    <mergeCell ref="B42:D42"/>
  </mergeCells>
  <phoneticPr fontId="12" type="noConversion"/>
  <pageMargins left="0.86" right="0.14000000000000001" top="0.43" bottom="0.09" header="0.16" footer="0.09"/>
  <pageSetup scale="75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FFFF"/>
  </sheetPr>
  <dimension ref="A1:E64"/>
  <sheetViews>
    <sheetView topLeftCell="C4" workbookViewId="0">
      <selection activeCell="B12" sqref="B12:B14"/>
    </sheetView>
  </sheetViews>
  <sheetFormatPr defaultRowHeight="12.75"/>
  <cols>
    <col min="1" max="1" width="40.42578125" style="7" customWidth="1"/>
    <col min="2" max="2" width="17.85546875" style="7" customWidth="1"/>
    <col min="3" max="3" width="39.5703125" style="14" customWidth="1"/>
    <col min="4" max="4" width="21.140625" style="7" customWidth="1"/>
    <col min="5" max="16384" width="9.140625" style="7"/>
  </cols>
  <sheetData>
    <row r="1" spans="1:5" ht="31.5" customHeight="1">
      <c r="A1" s="122" t="s">
        <v>83</v>
      </c>
      <c r="B1" s="122"/>
      <c r="C1" s="122"/>
      <c r="D1" s="122"/>
      <c r="E1" s="2"/>
    </row>
    <row r="2" spans="1:5" ht="13.5" customHeight="1">
      <c r="A2" s="50"/>
      <c r="B2" s="50"/>
      <c r="C2" s="50"/>
      <c r="D2" s="50"/>
      <c r="E2" s="2"/>
    </row>
    <row r="3" spans="1:5" ht="15.75">
      <c r="A3" s="11" t="s">
        <v>7</v>
      </c>
      <c r="B3" s="11" t="s">
        <v>65</v>
      </c>
      <c r="C3" s="11" t="s">
        <v>7</v>
      </c>
      <c r="D3" s="11" t="s">
        <v>65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20</v>
      </c>
      <c r="B5" s="25">
        <f>B6+B18+B19</f>
        <v>549330145</v>
      </c>
      <c r="C5" s="24" t="s">
        <v>69</v>
      </c>
      <c r="D5" s="25">
        <f>D6+D9+D17+D25+D33+D34+D37</f>
        <v>213928562</v>
      </c>
      <c r="E5" s="2"/>
    </row>
    <row r="6" spans="1:5" s="10" customFormat="1" ht="15.75">
      <c r="A6" s="19" t="s">
        <v>10</v>
      </c>
      <c r="B6" s="26">
        <f>B7+B11+B15</f>
        <v>548185948</v>
      </c>
      <c r="C6" s="19" t="s">
        <v>2</v>
      </c>
      <c r="D6" s="19">
        <f>SUM(D7:D8)</f>
        <v>8488797</v>
      </c>
      <c r="E6" s="9"/>
    </row>
    <row r="7" spans="1:5" s="16" customFormat="1" ht="15.75">
      <c r="A7" s="27" t="s">
        <v>8</v>
      </c>
      <c r="B7" s="27">
        <f t="shared" ref="B7" si="0">SUM(B8:B10)</f>
        <v>172106419</v>
      </c>
      <c r="C7" s="17" t="s">
        <v>6</v>
      </c>
      <c r="D7" s="51">
        <v>8488797</v>
      </c>
      <c r="E7" s="15"/>
    </row>
    <row r="8" spans="1:5" ht="15.75">
      <c r="A8" s="17" t="s">
        <v>48</v>
      </c>
      <c r="B8" s="49">
        <v>158561235</v>
      </c>
      <c r="C8" s="17" t="s">
        <v>29</v>
      </c>
      <c r="D8" s="52"/>
      <c r="E8" s="2"/>
    </row>
    <row r="9" spans="1:5" ht="15.75">
      <c r="A9" s="17" t="s">
        <v>49</v>
      </c>
      <c r="B9" s="49">
        <v>12665184</v>
      </c>
      <c r="C9" s="19" t="s">
        <v>66</v>
      </c>
      <c r="D9" s="28">
        <f t="shared" ref="D9" si="1">SUM(D10:D16)</f>
        <v>12511450</v>
      </c>
      <c r="E9" s="2"/>
    </row>
    <row r="10" spans="1:5" ht="14.25">
      <c r="A10" s="17" t="s">
        <v>50</v>
      </c>
      <c r="B10" s="49">
        <v>880000</v>
      </c>
      <c r="C10" s="17" t="s">
        <v>11</v>
      </c>
      <c r="D10" s="51">
        <v>9764750</v>
      </c>
      <c r="E10" s="2"/>
    </row>
    <row r="11" spans="1:5" s="16" customFormat="1" ht="15.75">
      <c r="A11" s="27" t="s">
        <v>9</v>
      </c>
      <c r="B11" s="27">
        <f t="shared" ref="B11" si="2">SUM(B12:B14)</f>
        <v>376079529</v>
      </c>
      <c r="C11" s="17" t="s">
        <v>12</v>
      </c>
      <c r="D11" s="51">
        <v>1205660</v>
      </c>
      <c r="E11" s="15"/>
    </row>
    <row r="12" spans="1:5" ht="14.25">
      <c r="A12" s="17" t="s">
        <v>48</v>
      </c>
      <c r="B12" s="17">
        <v>317596285</v>
      </c>
      <c r="C12" s="17" t="s">
        <v>13</v>
      </c>
      <c r="D12" s="51">
        <v>991040</v>
      </c>
      <c r="E12" s="2"/>
    </row>
    <row r="13" spans="1:5" ht="14.25">
      <c r="A13" s="17" t="s">
        <v>49</v>
      </c>
      <c r="B13" s="17">
        <v>49731644</v>
      </c>
      <c r="C13" s="17" t="s">
        <v>26</v>
      </c>
      <c r="D13" s="51"/>
      <c r="E13" s="2"/>
    </row>
    <row r="14" spans="1:5" ht="14.25">
      <c r="A14" s="17" t="s">
        <v>51</v>
      </c>
      <c r="B14" s="17">
        <v>8751600</v>
      </c>
      <c r="C14" s="17" t="s">
        <v>44</v>
      </c>
      <c r="D14" s="51"/>
      <c r="E14" s="2"/>
    </row>
    <row r="15" spans="1:5" ht="15.75">
      <c r="A15" s="27" t="s">
        <v>61</v>
      </c>
      <c r="B15" s="27">
        <f t="shared" ref="B15" si="3">SUM(B16:B17)</f>
        <v>0</v>
      </c>
      <c r="C15" s="17" t="s">
        <v>25</v>
      </c>
      <c r="D15" s="51"/>
      <c r="E15" s="2"/>
    </row>
    <row r="16" spans="1:5" ht="14.25">
      <c r="A16" s="17" t="s">
        <v>62</v>
      </c>
      <c r="B16" s="17"/>
      <c r="C16" s="17" t="s">
        <v>14</v>
      </c>
      <c r="D16" s="51">
        <f>550000</f>
        <v>550000</v>
      </c>
      <c r="E16" s="2"/>
    </row>
    <row r="17" spans="1:5" ht="15.75">
      <c r="A17" s="17" t="s">
        <v>63</v>
      </c>
      <c r="B17" s="17"/>
      <c r="C17" s="19" t="s">
        <v>67</v>
      </c>
      <c r="D17" s="26">
        <f t="shared" ref="D17" si="4">SUM(D18:D24)</f>
        <v>72521095</v>
      </c>
      <c r="E17" s="2"/>
    </row>
    <row r="18" spans="1:5" s="10" customFormat="1" ht="17.25" customHeight="1">
      <c r="A18" s="19" t="s">
        <v>18</v>
      </c>
      <c r="B18" s="52">
        <f>62829+3968</f>
        <v>66797</v>
      </c>
      <c r="C18" s="17" t="s">
        <v>11</v>
      </c>
      <c r="D18" s="51">
        <v>37737013</v>
      </c>
      <c r="E18" s="9"/>
    </row>
    <row r="19" spans="1:5" s="10" customFormat="1" ht="15.75">
      <c r="A19" s="19" t="s">
        <v>19</v>
      </c>
      <c r="B19" s="26">
        <f>SUM(B20:B21)</f>
        <v>1077400</v>
      </c>
      <c r="C19" s="17" t="s">
        <v>12</v>
      </c>
      <c r="D19" s="51">
        <v>4936490</v>
      </c>
      <c r="E19" s="9"/>
    </row>
    <row r="20" spans="1:5" ht="14.25">
      <c r="A20" s="17" t="s">
        <v>21</v>
      </c>
      <c r="B20" s="49">
        <v>1077400</v>
      </c>
      <c r="C20" s="17" t="s">
        <v>13</v>
      </c>
      <c r="D20" s="51">
        <v>913419</v>
      </c>
      <c r="E20" s="2"/>
    </row>
    <row r="21" spans="1:5" ht="14.25">
      <c r="A21" s="17" t="s">
        <v>28</v>
      </c>
      <c r="B21" s="49"/>
      <c r="C21" s="17" t="s">
        <v>26</v>
      </c>
      <c r="D21" s="51">
        <v>1000000</v>
      </c>
      <c r="E21" s="2"/>
    </row>
    <row r="22" spans="1:5" ht="14.25">
      <c r="A22" s="20"/>
      <c r="B22" s="20"/>
      <c r="C22" s="17" t="s">
        <v>44</v>
      </c>
      <c r="D22" s="51"/>
      <c r="E22" s="2"/>
    </row>
    <row r="23" spans="1:5" s="10" customFormat="1" ht="14.25">
      <c r="A23" s="29"/>
      <c r="B23" s="29"/>
      <c r="C23" s="17" t="s">
        <v>25</v>
      </c>
      <c r="D23" s="51"/>
      <c r="E23" s="9"/>
    </row>
    <row r="24" spans="1:5" s="10" customFormat="1" ht="14.25">
      <c r="A24" s="29"/>
      <c r="B24" s="29"/>
      <c r="C24" s="17" t="s">
        <v>14</v>
      </c>
      <c r="D24" s="51">
        <f>5919173+22015000</f>
        <v>27934173</v>
      </c>
      <c r="E24" s="9"/>
    </row>
    <row r="25" spans="1:5" ht="15.75">
      <c r="A25" s="20"/>
      <c r="B25" s="20"/>
      <c r="C25" s="19" t="s">
        <v>3</v>
      </c>
      <c r="D25" s="26">
        <f t="shared" ref="D25" si="5">SUM(D26:D32)</f>
        <v>55598741</v>
      </c>
      <c r="E25" s="2"/>
    </row>
    <row r="26" spans="1:5" ht="14.25">
      <c r="A26" s="20"/>
      <c r="B26" s="20"/>
      <c r="C26" s="17" t="s">
        <v>27</v>
      </c>
      <c r="D26" s="51"/>
      <c r="E26" s="2"/>
    </row>
    <row r="27" spans="1:5" ht="14.25">
      <c r="A27" s="20"/>
      <c r="B27" s="20"/>
      <c r="C27" s="17" t="s">
        <v>15</v>
      </c>
      <c r="D27" s="51">
        <v>60500</v>
      </c>
      <c r="E27" s="2"/>
    </row>
    <row r="28" spans="1:5" ht="14.25">
      <c r="A28" s="20"/>
      <c r="B28" s="20"/>
      <c r="C28" s="17" t="s">
        <v>16</v>
      </c>
      <c r="D28" s="51">
        <v>24213241</v>
      </c>
      <c r="E28" s="2"/>
    </row>
    <row r="29" spans="1:5" ht="14.25">
      <c r="A29" s="20"/>
      <c r="B29" s="20"/>
      <c r="C29" s="17" t="s">
        <v>17</v>
      </c>
      <c r="D29" s="51"/>
      <c r="E29" s="2"/>
    </row>
    <row r="30" spans="1:5" ht="14.25">
      <c r="A30" s="20"/>
      <c r="B30" s="20"/>
      <c r="C30" s="17" t="s">
        <v>45</v>
      </c>
      <c r="D30" s="51"/>
      <c r="E30" s="2"/>
    </row>
    <row r="31" spans="1:5" ht="14.25">
      <c r="A31" s="20"/>
      <c r="B31" s="20"/>
      <c r="C31" s="17" t="s">
        <v>26</v>
      </c>
      <c r="D31" s="51"/>
      <c r="E31" s="2"/>
    </row>
    <row r="32" spans="1:5" s="10" customFormat="1" ht="14.25">
      <c r="A32" s="29"/>
      <c r="B32" s="29"/>
      <c r="C32" s="17" t="s">
        <v>14</v>
      </c>
      <c r="D32" s="51">
        <v>31325000</v>
      </c>
      <c r="E32" s="9"/>
    </row>
    <row r="33" spans="1:5" ht="15.75">
      <c r="A33" s="20"/>
      <c r="B33" s="20"/>
      <c r="C33" s="19" t="s">
        <v>4</v>
      </c>
      <c r="D33" s="54">
        <v>60811833</v>
      </c>
      <c r="E33" s="2"/>
    </row>
    <row r="34" spans="1:5" ht="15.75">
      <c r="A34" s="20"/>
      <c r="B34" s="20"/>
      <c r="C34" s="19" t="s">
        <v>5</v>
      </c>
      <c r="D34" s="19">
        <f t="shared" ref="D34" si="6">SUM(D35:D36)</f>
        <v>0</v>
      </c>
      <c r="E34" s="2"/>
    </row>
    <row r="35" spans="1:5" ht="14.25">
      <c r="A35" s="20"/>
      <c r="B35" s="20"/>
      <c r="C35" s="17" t="s">
        <v>36</v>
      </c>
      <c r="D35" s="18"/>
      <c r="E35" s="2"/>
    </row>
    <row r="36" spans="1:5" ht="14.25">
      <c r="A36" s="20"/>
      <c r="B36" s="20"/>
      <c r="C36" s="17" t="s">
        <v>64</v>
      </c>
      <c r="D36" s="18"/>
      <c r="E36" s="2"/>
    </row>
    <row r="37" spans="1:5" ht="15.75">
      <c r="A37" s="20"/>
      <c r="B37" s="20"/>
      <c r="C37" s="19" t="s">
        <v>68</v>
      </c>
      <c r="D37" s="26">
        <f>SUM(D38:D41)</f>
        <v>3996646</v>
      </c>
      <c r="E37" s="2"/>
    </row>
    <row r="38" spans="1:5" ht="14.25">
      <c r="A38" s="20"/>
      <c r="B38" s="20"/>
      <c r="C38" s="17" t="s">
        <v>22</v>
      </c>
      <c r="D38" s="51">
        <v>496646</v>
      </c>
      <c r="E38" s="2"/>
    </row>
    <row r="39" spans="1:5" ht="14.25">
      <c r="A39" s="20"/>
      <c r="B39" s="20"/>
      <c r="C39" s="17" t="s">
        <v>23</v>
      </c>
      <c r="D39" s="49">
        <v>3500000</v>
      </c>
      <c r="E39" s="2"/>
    </row>
    <row r="40" spans="1:5" ht="14.25">
      <c r="A40" s="20"/>
      <c r="B40" s="20"/>
      <c r="C40" s="17" t="s">
        <v>24</v>
      </c>
      <c r="D40" s="49"/>
      <c r="E40" s="2"/>
    </row>
    <row r="41" spans="1:5" ht="14.25">
      <c r="A41" s="20"/>
      <c r="B41" s="20"/>
      <c r="C41" s="17" t="s">
        <v>43</v>
      </c>
      <c r="D41" s="49"/>
      <c r="E41" s="2"/>
    </row>
    <row r="42" spans="1:5" s="6" customFormat="1" ht="17.25">
      <c r="A42" s="31" t="s">
        <v>70</v>
      </c>
      <c r="B42" s="123">
        <f>B5-D5</f>
        <v>335401583</v>
      </c>
      <c r="C42" s="123"/>
      <c r="D42" s="123"/>
      <c r="E42" s="21"/>
    </row>
    <row r="45" spans="1:5" ht="15.75">
      <c r="A45" s="33" t="s">
        <v>71</v>
      </c>
      <c r="B45" s="33" t="s">
        <v>72</v>
      </c>
    </row>
    <row r="46" spans="1:5" ht="16.5" customHeight="1">
      <c r="A46" s="35" t="s">
        <v>56</v>
      </c>
      <c r="B46" s="35">
        <v>833265250</v>
      </c>
    </row>
    <row r="47" spans="1:5" ht="16.5" customHeight="1">
      <c r="A47" s="17" t="s">
        <v>57</v>
      </c>
      <c r="B47" s="17">
        <v>1707000000</v>
      </c>
    </row>
    <row r="48" spans="1:5" ht="18" customHeight="1">
      <c r="A48" s="37" t="s">
        <v>60</v>
      </c>
      <c r="B48" s="36">
        <f>B46+B47</f>
        <v>2540265250</v>
      </c>
    </row>
    <row r="51" spans="1:5" ht="15.75">
      <c r="A51" s="33" t="s">
        <v>52</v>
      </c>
      <c r="B51" s="33" t="s">
        <v>72</v>
      </c>
    </row>
    <row r="52" spans="1:5" ht="19.5" customHeight="1">
      <c r="A52" s="32" t="s">
        <v>0</v>
      </c>
      <c r="B52" s="32">
        <v>26141230</v>
      </c>
    </row>
    <row r="53" spans="1:5" ht="19.5" customHeight="1">
      <c r="A53" s="17" t="s">
        <v>84</v>
      </c>
      <c r="B53" s="32">
        <v>8025185</v>
      </c>
    </row>
    <row r="54" spans="1:5" s="14" customFormat="1" ht="19.5" customHeight="1">
      <c r="A54" s="17" t="s">
        <v>85</v>
      </c>
      <c r="B54" s="17">
        <v>8538590</v>
      </c>
      <c r="D54" s="7"/>
      <c r="E54" s="7"/>
    </row>
    <row r="55" spans="1:5" s="14" customFormat="1" ht="19.5" customHeight="1">
      <c r="A55" s="17" t="s">
        <v>79</v>
      </c>
      <c r="B55" s="17">
        <v>6000000</v>
      </c>
      <c r="D55" s="7"/>
      <c r="E55" s="7"/>
    </row>
    <row r="56" spans="1:5" s="14" customFormat="1" ht="19.5" customHeight="1">
      <c r="A56" s="17" t="s">
        <v>81</v>
      </c>
      <c r="B56" s="17">
        <v>152820201</v>
      </c>
      <c r="D56" s="7"/>
      <c r="E56" s="7"/>
    </row>
    <row r="57" spans="1:5" s="14" customFormat="1" ht="15.75">
      <c r="A57" s="37" t="s">
        <v>60</v>
      </c>
      <c r="B57" s="36">
        <f>SUM(B52:B56)</f>
        <v>201525206</v>
      </c>
      <c r="D57" s="7"/>
      <c r="E57" s="7"/>
    </row>
    <row r="59" spans="1:5" s="14" customFormat="1" ht="15.75">
      <c r="A59" s="47" t="s">
        <v>75</v>
      </c>
      <c r="B59" s="38"/>
      <c r="D59" s="7"/>
      <c r="E59" s="7"/>
    </row>
    <row r="60" spans="1:5" s="14" customFormat="1">
      <c r="A60" s="23"/>
      <c r="B60" s="7"/>
      <c r="D60" s="7"/>
      <c r="E60" s="7"/>
    </row>
    <row r="61" spans="1:5" s="14" customFormat="1">
      <c r="A61" s="23"/>
      <c r="B61" s="7"/>
      <c r="D61" s="7"/>
      <c r="E61" s="7"/>
    </row>
    <row r="62" spans="1:5" s="14" customFormat="1">
      <c r="A62" s="23"/>
      <c r="B62" s="7"/>
      <c r="D62" s="7"/>
      <c r="E62" s="7"/>
    </row>
    <row r="63" spans="1:5" s="14" customFormat="1">
      <c r="A63" s="23"/>
      <c r="B63" s="7"/>
      <c r="D63" s="7"/>
      <c r="E63" s="7"/>
    </row>
    <row r="64" spans="1:5" s="14" customFormat="1" ht="15.75">
      <c r="A64" s="48" t="s">
        <v>76</v>
      </c>
      <c r="B64" s="7"/>
      <c r="D64" s="7"/>
      <c r="E64" s="7"/>
    </row>
  </sheetData>
  <mergeCells count="2">
    <mergeCell ref="A1:D1"/>
    <mergeCell ref="B42:D42"/>
  </mergeCells>
  <pageMargins left="0.86" right="0.14000000000000001" top="0.43" bottom="0.09" header="0.16" footer="0.09"/>
  <pageSetup scale="75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FFFF"/>
  </sheetPr>
  <dimension ref="A1:E63"/>
  <sheetViews>
    <sheetView topLeftCell="A25" workbookViewId="0">
      <selection activeCell="B13" sqref="B13:B15"/>
    </sheetView>
  </sheetViews>
  <sheetFormatPr defaultRowHeight="12.75"/>
  <cols>
    <col min="1" max="1" width="40.42578125" style="7" customWidth="1"/>
    <col min="2" max="2" width="17.85546875" style="7" customWidth="1"/>
    <col min="3" max="3" width="39.5703125" style="14" customWidth="1"/>
    <col min="4" max="4" width="21.140625" style="7" customWidth="1"/>
    <col min="5" max="16384" width="9.140625" style="7"/>
  </cols>
  <sheetData>
    <row r="1" spans="1:5" ht="31.5" customHeight="1">
      <c r="A1" s="122" t="s">
        <v>89</v>
      </c>
      <c r="B1" s="122"/>
      <c r="C1" s="122"/>
      <c r="D1" s="122"/>
      <c r="E1" s="2"/>
    </row>
    <row r="2" spans="1:5" ht="13.5" customHeight="1">
      <c r="A2" s="55"/>
      <c r="B2" s="55"/>
      <c r="C2" s="55"/>
      <c r="D2" s="55"/>
      <c r="E2" s="2"/>
    </row>
    <row r="3" spans="1:5" ht="15.75">
      <c r="A3" s="11" t="s">
        <v>7</v>
      </c>
      <c r="B3" s="11" t="s">
        <v>65</v>
      </c>
      <c r="C3" s="11" t="s">
        <v>7</v>
      </c>
      <c r="D3" s="11" t="s">
        <v>65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20</v>
      </c>
      <c r="B5" s="25">
        <f>B6+B19+B20</f>
        <v>566156482</v>
      </c>
      <c r="C5" s="24" t="s">
        <v>69</v>
      </c>
      <c r="D5" s="25">
        <f>D6+D9+D17+D25+D33+D34+D37</f>
        <v>260648961</v>
      </c>
      <c r="E5" s="2"/>
    </row>
    <row r="6" spans="1:5" s="10" customFormat="1" ht="15.75">
      <c r="A6" s="19" t="s">
        <v>10</v>
      </c>
      <c r="B6" s="26">
        <f>B7+B12+B16</f>
        <v>561523815</v>
      </c>
      <c r="C6" s="19" t="s">
        <v>2</v>
      </c>
      <c r="D6" s="19">
        <f>SUM(D7:D8)</f>
        <v>40965278</v>
      </c>
      <c r="E6" s="9"/>
    </row>
    <row r="7" spans="1:5" s="16" customFormat="1" ht="15.75">
      <c r="A7" s="27" t="s">
        <v>8</v>
      </c>
      <c r="B7" s="27">
        <f>SUM(B8:B11)</f>
        <v>189283382</v>
      </c>
      <c r="C7" s="17" t="s">
        <v>6</v>
      </c>
      <c r="D7" s="51">
        <v>4254349</v>
      </c>
      <c r="E7" s="15"/>
    </row>
    <row r="8" spans="1:5" ht="14.25">
      <c r="A8" s="17" t="s">
        <v>48</v>
      </c>
      <c r="B8" s="49">
        <v>173094400</v>
      </c>
      <c r="C8" s="17" t="s">
        <v>29</v>
      </c>
      <c r="D8" s="51">
        <v>36710929</v>
      </c>
      <c r="E8" s="2"/>
    </row>
    <row r="9" spans="1:5" ht="15.75">
      <c r="A9" s="17" t="s">
        <v>49</v>
      </c>
      <c r="B9" s="49">
        <v>12808982</v>
      </c>
      <c r="C9" s="19" t="s">
        <v>66</v>
      </c>
      <c r="D9" s="28">
        <f>SUM(D10:D16)</f>
        <v>16878994</v>
      </c>
      <c r="E9" s="2"/>
    </row>
    <row r="10" spans="1:5" ht="14.25">
      <c r="A10" s="17" t="s">
        <v>50</v>
      </c>
      <c r="B10" s="49">
        <v>880000</v>
      </c>
      <c r="C10" s="17" t="s">
        <v>11</v>
      </c>
      <c r="D10" s="51">
        <v>15954994</v>
      </c>
      <c r="E10" s="2"/>
    </row>
    <row r="11" spans="1:5" ht="14.25">
      <c r="A11" s="49" t="s">
        <v>51</v>
      </c>
      <c r="B11" s="49">
        <v>2500000</v>
      </c>
      <c r="C11" s="17" t="s">
        <v>12</v>
      </c>
      <c r="D11" s="51"/>
      <c r="E11" s="2"/>
    </row>
    <row r="12" spans="1:5" s="16" customFormat="1" ht="15.75">
      <c r="A12" s="27" t="s">
        <v>9</v>
      </c>
      <c r="B12" s="27">
        <f t="shared" ref="B12" si="0">SUM(B13:B15)</f>
        <v>368740433</v>
      </c>
      <c r="C12" s="17" t="s">
        <v>13</v>
      </c>
      <c r="D12" s="51">
        <v>924000</v>
      </c>
      <c r="E12" s="15"/>
    </row>
    <row r="13" spans="1:5" ht="14.25">
      <c r="A13" s="17" t="s">
        <v>48</v>
      </c>
      <c r="B13" s="17">
        <v>315067010</v>
      </c>
      <c r="C13" s="17" t="s">
        <v>26</v>
      </c>
      <c r="D13" s="51"/>
      <c r="E13" s="2"/>
    </row>
    <row r="14" spans="1:5" ht="14.25">
      <c r="A14" s="17" t="s">
        <v>49</v>
      </c>
      <c r="B14" s="17">
        <v>45755823</v>
      </c>
      <c r="C14" s="17" t="s">
        <v>44</v>
      </c>
      <c r="D14" s="49"/>
      <c r="E14" s="2"/>
    </row>
    <row r="15" spans="1:5" ht="14.25">
      <c r="A15" s="17" t="s">
        <v>51</v>
      </c>
      <c r="B15" s="17">
        <v>7917600</v>
      </c>
      <c r="C15" s="17" t="s">
        <v>25</v>
      </c>
      <c r="D15" s="51"/>
      <c r="E15" s="2"/>
    </row>
    <row r="16" spans="1:5" ht="15.75">
      <c r="A16" s="27" t="s">
        <v>61</v>
      </c>
      <c r="B16" s="27">
        <f t="shared" ref="B16" si="1">SUM(B17:B18)</f>
        <v>3500000</v>
      </c>
      <c r="C16" s="17" t="s">
        <v>14</v>
      </c>
      <c r="D16" s="51"/>
      <c r="E16" s="2"/>
    </row>
    <row r="17" spans="1:5" ht="15.75">
      <c r="A17" s="17" t="s">
        <v>62</v>
      </c>
      <c r="B17" s="49">
        <v>3500000</v>
      </c>
      <c r="C17" s="19" t="s">
        <v>67</v>
      </c>
      <c r="D17" s="26">
        <f t="shared" ref="D17" si="2">SUM(D18:D24)</f>
        <v>73191074</v>
      </c>
      <c r="E17" s="2"/>
    </row>
    <row r="18" spans="1:5" ht="14.25">
      <c r="A18" s="17" t="s">
        <v>63</v>
      </c>
      <c r="B18" s="17"/>
      <c r="C18" s="17" t="s">
        <v>11</v>
      </c>
      <c r="D18" s="51">
        <v>44027000</v>
      </c>
      <c r="E18" s="2"/>
    </row>
    <row r="19" spans="1:5" s="10" customFormat="1" ht="17.25" customHeight="1">
      <c r="A19" s="19" t="s">
        <v>18</v>
      </c>
      <c r="B19" s="52">
        <v>105867</v>
      </c>
      <c r="C19" s="17" t="s">
        <v>12</v>
      </c>
      <c r="D19" s="51"/>
      <c r="E19" s="9"/>
    </row>
    <row r="20" spans="1:5" s="10" customFormat="1" ht="15.75">
      <c r="A20" s="19" t="s">
        <v>19</v>
      </c>
      <c r="B20" s="26">
        <f>SUM(B21:B22)</f>
        <v>4526800</v>
      </c>
      <c r="C20" s="17" t="s">
        <v>13</v>
      </c>
      <c r="D20" s="51">
        <v>969079</v>
      </c>
      <c r="E20" s="9"/>
    </row>
    <row r="21" spans="1:5" ht="14.25">
      <c r="A21" s="17" t="s">
        <v>21</v>
      </c>
      <c r="B21" s="49">
        <v>4526800</v>
      </c>
      <c r="C21" s="17" t="s">
        <v>26</v>
      </c>
      <c r="D21" s="51">
        <v>6115000</v>
      </c>
      <c r="E21" s="2"/>
    </row>
    <row r="22" spans="1:5" ht="14.25">
      <c r="A22" s="17" t="s">
        <v>28</v>
      </c>
      <c r="B22" s="49"/>
      <c r="C22" s="17" t="s">
        <v>44</v>
      </c>
      <c r="D22" s="49"/>
      <c r="E22" s="2"/>
    </row>
    <row r="23" spans="1:5" ht="14.25">
      <c r="A23" s="20"/>
      <c r="B23" s="20"/>
      <c r="C23" s="17" t="s">
        <v>25</v>
      </c>
      <c r="D23" s="51"/>
      <c r="E23" s="2"/>
    </row>
    <row r="24" spans="1:5" s="10" customFormat="1" ht="14.25">
      <c r="A24" s="29"/>
      <c r="B24" s="29"/>
      <c r="C24" s="17" t="s">
        <v>14</v>
      </c>
      <c r="D24" s="51">
        <f>1879995+20200000</f>
        <v>22079995</v>
      </c>
      <c r="E24" s="9"/>
    </row>
    <row r="25" spans="1:5" s="10" customFormat="1" ht="15.75">
      <c r="A25" s="29"/>
      <c r="B25" s="29"/>
      <c r="C25" s="19" t="s">
        <v>3</v>
      </c>
      <c r="D25" s="26">
        <f t="shared" ref="D25" si="3">SUM(D26:D32)</f>
        <v>2602000</v>
      </c>
      <c r="E25" s="9"/>
    </row>
    <row r="26" spans="1:5" ht="14.25">
      <c r="A26" s="20"/>
      <c r="B26" s="20"/>
      <c r="C26" s="17" t="s">
        <v>27</v>
      </c>
      <c r="D26" s="51"/>
      <c r="E26" s="2"/>
    </row>
    <row r="27" spans="1:5" ht="14.25">
      <c r="A27" s="20"/>
      <c r="B27" s="20"/>
      <c r="C27" s="17" t="s">
        <v>15</v>
      </c>
      <c r="D27" s="51"/>
      <c r="E27" s="2"/>
    </row>
    <row r="28" spans="1:5" ht="14.25">
      <c r="A28" s="20"/>
      <c r="B28" s="20"/>
      <c r="C28" s="17" t="s">
        <v>16</v>
      </c>
      <c r="D28" s="51"/>
      <c r="E28" s="2"/>
    </row>
    <row r="29" spans="1:5" ht="14.25">
      <c r="A29" s="20"/>
      <c r="B29" s="20"/>
      <c r="C29" s="17" t="s">
        <v>17</v>
      </c>
      <c r="D29" s="49"/>
      <c r="E29" s="2"/>
    </row>
    <row r="30" spans="1:5" ht="14.25">
      <c r="A30" s="20"/>
      <c r="B30" s="20"/>
      <c r="C30" s="17" t="s">
        <v>45</v>
      </c>
      <c r="D30" s="49"/>
      <c r="E30" s="2"/>
    </row>
    <row r="31" spans="1:5" ht="14.25">
      <c r="A31" s="20"/>
      <c r="B31" s="20"/>
      <c r="C31" s="17" t="s">
        <v>26</v>
      </c>
      <c r="D31" s="49"/>
      <c r="E31" s="2"/>
    </row>
    <row r="32" spans="1:5" ht="14.25">
      <c r="A32" s="20"/>
      <c r="B32" s="20"/>
      <c r="C32" s="17" t="s">
        <v>14</v>
      </c>
      <c r="D32" s="49">
        <f>2602000</f>
        <v>2602000</v>
      </c>
      <c r="E32" s="2"/>
    </row>
    <row r="33" spans="1:5" s="10" customFormat="1" ht="15.75">
      <c r="A33" s="29"/>
      <c r="B33" s="29"/>
      <c r="C33" s="19" t="s">
        <v>4</v>
      </c>
      <c r="D33" s="54">
        <v>124983784</v>
      </c>
      <c r="E33" s="9"/>
    </row>
    <row r="34" spans="1:5" ht="15.75">
      <c r="A34" s="20"/>
      <c r="B34" s="20"/>
      <c r="C34" s="19" t="s">
        <v>5</v>
      </c>
      <c r="D34" s="19">
        <f t="shared" ref="D34" si="4">SUM(D35:D36)</f>
        <v>1430000</v>
      </c>
      <c r="E34" s="2"/>
    </row>
    <row r="35" spans="1:5" ht="14.25">
      <c r="A35" s="20"/>
      <c r="B35" s="20"/>
      <c r="C35" s="17" t="s">
        <v>36</v>
      </c>
      <c r="D35" s="49">
        <v>1430000</v>
      </c>
      <c r="E35" s="2"/>
    </row>
    <row r="36" spans="1:5" ht="14.25">
      <c r="A36" s="20"/>
      <c r="B36" s="20"/>
      <c r="C36" s="17" t="s">
        <v>64</v>
      </c>
      <c r="D36" s="49"/>
      <c r="E36" s="2"/>
    </row>
    <row r="37" spans="1:5" ht="15.75">
      <c r="A37" s="20"/>
      <c r="B37" s="20"/>
      <c r="C37" s="19" t="s">
        <v>68</v>
      </c>
      <c r="D37" s="26">
        <f>SUM(D38:D41)</f>
        <v>597831</v>
      </c>
      <c r="E37" s="2"/>
    </row>
    <row r="38" spans="1:5" ht="14.25">
      <c r="A38" s="20"/>
      <c r="B38" s="20"/>
      <c r="C38" s="17" t="s">
        <v>22</v>
      </c>
      <c r="D38" s="51">
        <v>597831</v>
      </c>
      <c r="E38" s="2"/>
    </row>
    <row r="39" spans="1:5" ht="14.25">
      <c r="A39" s="20"/>
      <c r="B39" s="20"/>
      <c r="C39" s="17" t="s">
        <v>23</v>
      </c>
      <c r="D39" s="49"/>
      <c r="E39" s="2"/>
    </row>
    <row r="40" spans="1:5" ht="14.25">
      <c r="A40" s="20"/>
      <c r="B40" s="20"/>
      <c r="C40" s="17" t="s">
        <v>24</v>
      </c>
      <c r="D40" s="49"/>
      <c r="E40" s="2"/>
    </row>
    <row r="41" spans="1:5" ht="14.25">
      <c r="A41" s="20"/>
      <c r="B41" s="20"/>
      <c r="C41" s="17" t="s">
        <v>43</v>
      </c>
      <c r="D41" s="49"/>
      <c r="E41" s="2"/>
    </row>
    <row r="42" spans="1:5" s="6" customFormat="1" ht="17.25">
      <c r="A42" s="31" t="s">
        <v>70</v>
      </c>
      <c r="B42" s="123">
        <f>B5-D5</f>
        <v>305507521</v>
      </c>
      <c r="C42" s="123"/>
      <c r="D42" s="123"/>
      <c r="E42" s="21"/>
    </row>
    <row r="44" spans="1:5" ht="15.75">
      <c r="A44" s="33" t="s">
        <v>71</v>
      </c>
      <c r="B44" s="33" t="s">
        <v>72</v>
      </c>
    </row>
    <row r="45" spans="1:5" ht="16.5" customHeight="1">
      <c r="A45" s="35" t="s">
        <v>56</v>
      </c>
      <c r="B45" s="35">
        <v>0</v>
      </c>
    </row>
    <row r="46" spans="1:5" ht="16.5" customHeight="1">
      <c r="A46" s="17" t="s">
        <v>57</v>
      </c>
      <c r="B46" s="17">
        <v>1908000000</v>
      </c>
    </row>
    <row r="47" spans="1:5" ht="18" customHeight="1">
      <c r="A47" s="37" t="s">
        <v>60</v>
      </c>
      <c r="B47" s="36">
        <f>B45+B46</f>
        <v>1908000000</v>
      </c>
    </row>
    <row r="50" spans="1:5" ht="15.75">
      <c r="A50" s="33" t="s">
        <v>52</v>
      </c>
      <c r="B50" s="33" t="s">
        <v>72</v>
      </c>
    </row>
    <row r="51" spans="1:5" ht="19.5" customHeight="1">
      <c r="A51" s="32" t="s">
        <v>0</v>
      </c>
      <c r="B51" s="32">
        <v>37680480</v>
      </c>
    </row>
    <row r="52" spans="1:5" s="14" customFormat="1" ht="19.5" customHeight="1">
      <c r="A52" s="17" t="s">
        <v>90</v>
      </c>
      <c r="B52" s="17">
        <v>50330</v>
      </c>
      <c r="D52" s="7"/>
      <c r="E52" s="7"/>
    </row>
    <row r="53" spans="1:5" s="14" customFormat="1" ht="19.5" customHeight="1">
      <c r="A53" s="17" t="s">
        <v>85</v>
      </c>
      <c r="B53" s="17">
        <v>17167055</v>
      </c>
      <c r="D53" s="7"/>
      <c r="E53" s="7"/>
    </row>
    <row r="54" spans="1:5" s="14" customFormat="1" ht="19.5" customHeight="1">
      <c r="A54" s="56" t="s">
        <v>79</v>
      </c>
      <c r="B54" s="56">
        <v>3500000</v>
      </c>
      <c r="D54" s="7"/>
      <c r="E54" s="7"/>
    </row>
    <row r="55" spans="1:5" s="14" customFormat="1" ht="19.5" customHeight="1">
      <c r="A55" s="56" t="s">
        <v>91</v>
      </c>
      <c r="B55" s="56">
        <v>158280701</v>
      </c>
      <c r="D55" s="7"/>
      <c r="E55" s="7"/>
    </row>
    <row r="56" spans="1:5" s="14" customFormat="1" ht="19.5" customHeight="1">
      <c r="A56" s="56" t="s">
        <v>97</v>
      </c>
      <c r="B56" s="56">
        <v>16107850</v>
      </c>
      <c r="D56" s="7"/>
      <c r="E56" s="7"/>
    </row>
    <row r="57" spans="1:5" s="14" customFormat="1" ht="15.75">
      <c r="A57" s="37" t="s">
        <v>60</v>
      </c>
      <c r="B57" s="36">
        <f>SUM(B51:B56)</f>
        <v>232786416</v>
      </c>
      <c r="D57" s="7"/>
      <c r="E57" s="7"/>
    </row>
    <row r="59" spans="1:5" s="14" customFormat="1" ht="15.75">
      <c r="A59" s="47" t="s">
        <v>75</v>
      </c>
      <c r="B59" s="38"/>
      <c r="D59" s="7"/>
      <c r="E59" s="7"/>
    </row>
    <row r="60" spans="1:5" s="14" customFormat="1">
      <c r="A60" s="23"/>
      <c r="B60" s="7"/>
      <c r="D60" s="7"/>
      <c r="E60" s="7"/>
    </row>
    <row r="61" spans="1:5" s="14" customFormat="1">
      <c r="A61" s="23"/>
      <c r="B61" s="7"/>
      <c r="D61" s="7"/>
      <c r="E61" s="7"/>
    </row>
    <row r="62" spans="1:5" s="14" customFormat="1">
      <c r="A62" s="23"/>
      <c r="B62" s="7"/>
      <c r="D62" s="7"/>
      <c r="E62" s="7"/>
    </row>
    <row r="63" spans="1:5" s="14" customFormat="1" ht="15.75">
      <c r="A63" s="48" t="s">
        <v>76</v>
      </c>
      <c r="B63" s="7"/>
      <c r="D63" s="7"/>
      <c r="E63" s="7"/>
    </row>
  </sheetData>
  <mergeCells count="2">
    <mergeCell ref="A1:D1"/>
    <mergeCell ref="B42:D42"/>
  </mergeCells>
  <pageMargins left="0.86" right="0.14000000000000001" top="0.17" bottom="0.09" header="0.16" footer="0.09"/>
  <pageSetup scale="75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FFFF"/>
  </sheetPr>
  <dimension ref="A1:E66"/>
  <sheetViews>
    <sheetView topLeftCell="A22" workbookViewId="0">
      <selection activeCell="B13" sqref="B13:B15"/>
    </sheetView>
  </sheetViews>
  <sheetFormatPr defaultRowHeight="12.75"/>
  <cols>
    <col min="1" max="1" width="40.42578125" style="7" customWidth="1"/>
    <col min="2" max="2" width="17.85546875" style="7" customWidth="1"/>
    <col min="3" max="3" width="39.5703125" style="14" customWidth="1"/>
    <col min="4" max="4" width="21.140625" style="7" customWidth="1"/>
    <col min="5" max="16384" width="9.140625" style="7"/>
  </cols>
  <sheetData>
    <row r="1" spans="1:5" ht="31.5" customHeight="1">
      <c r="A1" s="122" t="s">
        <v>93</v>
      </c>
      <c r="B1" s="122"/>
      <c r="C1" s="122"/>
      <c r="D1" s="122"/>
      <c r="E1" s="2"/>
    </row>
    <row r="2" spans="1:5" ht="13.5" customHeight="1">
      <c r="A2" s="58"/>
      <c r="B2" s="58"/>
      <c r="C2" s="58"/>
      <c r="D2" s="58"/>
      <c r="E2" s="2"/>
    </row>
    <row r="3" spans="1:5" ht="15.75">
      <c r="A3" s="11" t="s">
        <v>7</v>
      </c>
      <c r="B3" s="11" t="s">
        <v>65</v>
      </c>
      <c r="C3" s="11" t="s">
        <v>7</v>
      </c>
      <c r="D3" s="11" t="s">
        <v>65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20</v>
      </c>
      <c r="B5" s="25">
        <f>B6+B19+B20</f>
        <v>725278252</v>
      </c>
      <c r="C5" s="24" t="s">
        <v>69</v>
      </c>
      <c r="D5" s="25">
        <f>D6+D9+D17+D25+D33+D34+D37</f>
        <v>497265306</v>
      </c>
      <c r="E5" s="2"/>
    </row>
    <row r="6" spans="1:5" s="10" customFormat="1" ht="15.75">
      <c r="A6" s="19" t="s">
        <v>10</v>
      </c>
      <c r="B6" s="26">
        <f>B7+B12+B16</f>
        <v>724115768</v>
      </c>
      <c r="C6" s="19" t="s">
        <v>2</v>
      </c>
      <c r="D6" s="19">
        <f>SUM(D7:D8)</f>
        <v>18907696</v>
      </c>
      <c r="E6" s="9"/>
    </row>
    <row r="7" spans="1:5" s="16" customFormat="1" ht="15.75">
      <c r="A7" s="27" t="s">
        <v>8</v>
      </c>
      <c r="B7" s="27">
        <f>SUM(B8:B11)</f>
        <v>181757367</v>
      </c>
      <c r="C7" s="17" t="s">
        <v>6</v>
      </c>
      <c r="D7" s="52"/>
      <c r="E7" s="15"/>
    </row>
    <row r="8" spans="1:5" ht="14.25">
      <c r="A8" s="17" t="s">
        <v>48</v>
      </c>
      <c r="B8" s="49">
        <v>159357696</v>
      </c>
      <c r="C8" s="17" t="s">
        <v>29</v>
      </c>
      <c r="D8" s="51">
        <v>18907696</v>
      </c>
      <c r="E8" s="2"/>
    </row>
    <row r="9" spans="1:5" ht="15.75">
      <c r="A9" s="17" t="s">
        <v>49</v>
      </c>
      <c r="B9" s="49">
        <v>21519671</v>
      </c>
      <c r="C9" s="19" t="s">
        <v>66</v>
      </c>
      <c r="D9" s="28">
        <f>SUM(D10:D16)</f>
        <v>38982844</v>
      </c>
      <c r="E9" s="2"/>
    </row>
    <row r="10" spans="1:5" ht="14.25">
      <c r="A10" s="17" t="s">
        <v>50</v>
      </c>
      <c r="B10" s="49">
        <v>880000</v>
      </c>
      <c r="C10" s="17" t="s">
        <v>11</v>
      </c>
      <c r="D10" s="49">
        <v>21185159</v>
      </c>
      <c r="E10" s="2"/>
    </row>
    <row r="11" spans="1:5" ht="14.25">
      <c r="A11" s="49" t="s">
        <v>51</v>
      </c>
      <c r="B11" s="49">
        <v>0</v>
      </c>
      <c r="C11" s="17" t="s">
        <v>12</v>
      </c>
      <c r="D11" s="49">
        <v>1263465</v>
      </c>
      <c r="E11" s="2"/>
    </row>
    <row r="12" spans="1:5" s="16" customFormat="1" ht="15.75">
      <c r="A12" s="27" t="s">
        <v>9</v>
      </c>
      <c r="B12" s="27">
        <f t="shared" ref="B12" si="0">SUM(B13:B15)</f>
        <v>438315161</v>
      </c>
      <c r="C12" s="17" t="s">
        <v>13</v>
      </c>
      <c r="D12" s="49">
        <v>984220</v>
      </c>
      <c r="E12" s="15"/>
    </row>
    <row r="13" spans="1:5" ht="14.25">
      <c r="A13" s="17" t="s">
        <v>48</v>
      </c>
      <c r="B13" s="17">
        <v>353396939</v>
      </c>
      <c r="C13" s="17" t="s">
        <v>26</v>
      </c>
      <c r="D13" s="49">
        <v>15350000</v>
      </c>
      <c r="E13" s="2"/>
    </row>
    <row r="14" spans="1:5" ht="14.25">
      <c r="A14" s="17" t="s">
        <v>49</v>
      </c>
      <c r="B14" s="17">
        <v>76500022</v>
      </c>
      <c r="C14" s="17" t="s">
        <v>44</v>
      </c>
      <c r="D14" s="49"/>
      <c r="E14" s="2"/>
    </row>
    <row r="15" spans="1:5" ht="14.25">
      <c r="A15" s="17" t="s">
        <v>51</v>
      </c>
      <c r="B15" s="17">
        <v>8418200</v>
      </c>
      <c r="C15" s="17" t="s">
        <v>25</v>
      </c>
      <c r="D15" s="49"/>
      <c r="E15" s="2"/>
    </row>
    <row r="16" spans="1:5" ht="15.75">
      <c r="A16" s="27" t="s">
        <v>61</v>
      </c>
      <c r="B16" s="27">
        <f t="shared" ref="B16" si="1">SUM(B17:B18)</f>
        <v>104043240</v>
      </c>
      <c r="C16" s="17" t="s">
        <v>14</v>
      </c>
      <c r="D16" s="49">
        <v>200000</v>
      </c>
      <c r="E16" s="2"/>
    </row>
    <row r="17" spans="1:5" ht="15.75">
      <c r="A17" s="17" t="s">
        <v>62</v>
      </c>
      <c r="B17" s="49"/>
      <c r="C17" s="19" t="s">
        <v>67</v>
      </c>
      <c r="D17" s="26">
        <f t="shared" ref="D17" si="2">SUM(D18:D24)</f>
        <v>193827960</v>
      </c>
      <c r="E17" s="2"/>
    </row>
    <row r="18" spans="1:5" ht="14.25">
      <c r="A18" s="17" t="s">
        <v>63</v>
      </c>
      <c r="B18" s="17">
        <v>104043240</v>
      </c>
      <c r="C18" s="17" t="s">
        <v>11</v>
      </c>
      <c r="D18" s="49">
        <v>65079031</v>
      </c>
      <c r="E18" s="2"/>
    </row>
    <row r="19" spans="1:5" s="10" customFormat="1" ht="17.25" customHeight="1">
      <c r="A19" s="19" t="s">
        <v>18</v>
      </c>
      <c r="B19" s="52">
        <v>46084</v>
      </c>
      <c r="C19" s="17" t="s">
        <v>12</v>
      </c>
      <c r="D19" s="49">
        <v>5130840</v>
      </c>
      <c r="E19" s="9"/>
    </row>
    <row r="20" spans="1:5" s="10" customFormat="1" ht="15.75">
      <c r="A20" s="19" t="s">
        <v>19</v>
      </c>
      <c r="B20" s="26">
        <f>SUM(B21:B22)</f>
        <v>1116400</v>
      </c>
      <c r="C20" s="17" t="s">
        <v>13</v>
      </c>
      <c r="D20" s="49">
        <v>993458</v>
      </c>
      <c r="E20" s="9"/>
    </row>
    <row r="21" spans="1:5" ht="14.25">
      <c r="A21" s="17" t="s">
        <v>21</v>
      </c>
      <c r="B21" s="49">
        <f>116400</f>
        <v>116400</v>
      </c>
      <c r="C21" s="17" t="s">
        <v>26</v>
      </c>
      <c r="D21" s="49">
        <v>99477000</v>
      </c>
      <c r="E21" s="2"/>
    </row>
    <row r="22" spans="1:5" ht="14.25">
      <c r="A22" s="17" t="s">
        <v>28</v>
      </c>
      <c r="B22" s="49">
        <v>1000000</v>
      </c>
      <c r="C22" s="17" t="s">
        <v>44</v>
      </c>
      <c r="D22" s="49"/>
      <c r="E22" s="2"/>
    </row>
    <row r="23" spans="1:5" ht="14.25">
      <c r="A23" s="20"/>
      <c r="B23" s="20"/>
      <c r="C23" s="17" t="s">
        <v>25</v>
      </c>
      <c r="D23" s="49"/>
      <c r="E23" s="2"/>
    </row>
    <row r="24" spans="1:5" s="10" customFormat="1" ht="14.25">
      <c r="A24" s="29"/>
      <c r="B24" s="29"/>
      <c r="C24" s="17" t="s">
        <v>14</v>
      </c>
      <c r="D24" s="49">
        <f>2947631+20200000</f>
        <v>23147631</v>
      </c>
      <c r="E24" s="9"/>
    </row>
    <row r="25" spans="1:5" s="10" customFormat="1" ht="15.75">
      <c r="A25" s="29"/>
      <c r="B25" s="29"/>
      <c r="C25" s="19" t="s">
        <v>3</v>
      </c>
      <c r="D25" s="26">
        <f t="shared" ref="D25" si="3">SUM(D26:D32)</f>
        <v>37913446</v>
      </c>
      <c r="E25" s="9"/>
    </row>
    <row r="26" spans="1:5" ht="14.25">
      <c r="A26" s="20"/>
      <c r="B26" s="20"/>
      <c r="C26" s="17" t="s">
        <v>27</v>
      </c>
      <c r="D26" s="51">
        <v>9600000</v>
      </c>
      <c r="E26" s="2"/>
    </row>
    <row r="27" spans="1:5" ht="14.25">
      <c r="A27" s="20"/>
      <c r="B27" s="20"/>
      <c r="C27" s="17" t="s">
        <v>15</v>
      </c>
      <c r="D27" s="51">
        <v>77100</v>
      </c>
      <c r="E27" s="2"/>
    </row>
    <row r="28" spans="1:5" ht="14.25">
      <c r="A28" s="20"/>
      <c r="B28" s="20"/>
      <c r="C28" s="17" t="s">
        <v>16</v>
      </c>
      <c r="D28" s="51">
        <v>23941346</v>
      </c>
      <c r="E28" s="2"/>
    </row>
    <row r="29" spans="1:5" ht="14.25">
      <c r="A29" s="20"/>
      <c r="B29" s="20"/>
      <c r="C29" s="17" t="s">
        <v>17</v>
      </c>
      <c r="D29" s="51"/>
      <c r="E29" s="2"/>
    </row>
    <row r="30" spans="1:5" ht="14.25">
      <c r="A30" s="20"/>
      <c r="B30" s="20"/>
      <c r="C30" s="17" t="s">
        <v>45</v>
      </c>
      <c r="D30" s="51"/>
      <c r="E30" s="2"/>
    </row>
    <row r="31" spans="1:5" ht="14.25">
      <c r="A31" s="20"/>
      <c r="B31" s="20"/>
      <c r="C31" s="17" t="s">
        <v>26</v>
      </c>
      <c r="D31" s="51"/>
      <c r="E31" s="2"/>
    </row>
    <row r="32" spans="1:5" ht="14.25">
      <c r="A32" s="20"/>
      <c r="B32" s="20"/>
      <c r="C32" s="17" t="s">
        <v>14</v>
      </c>
      <c r="D32" s="49">
        <v>4295000</v>
      </c>
      <c r="E32" s="2"/>
    </row>
    <row r="33" spans="1:5" s="10" customFormat="1" ht="15.75">
      <c r="A33" s="29"/>
      <c r="B33" s="29"/>
      <c r="C33" s="19" t="s">
        <v>4</v>
      </c>
      <c r="D33" s="54">
        <v>62225450</v>
      </c>
      <c r="E33" s="9"/>
    </row>
    <row r="34" spans="1:5" ht="15.75">
      <c r="A34" s="20"/>
      <c r="B34" s="20"/>
      <c r="C34" s="19" t="s">
        <v>5</v>
      </c>
      <c r="D34" s="19">
        <f t="shared" ref="D34" si="4">SUM(D35:D36)</f>
        <v>83075000</v>
      </c>
      <c r="E34" s="2"/>
    </row>
    <row r="35" spans="1:5" ht="14.25">
      <c r="A35" s="20"/>
      <c r="B35" s="20"/>
      <c r="C35" s="17" t="s">
        <v>36</v>
      </c>
      <c r="D35" s="49"/>
      <c r="E35" s="2"/>
    </row>
    <row r="36" spans="1:5" ht="14.25">
      <c r="A36" s="20"/>
      <c r="B36" s="20"/>
      <c r="C36" s="17" t="s">
        <v>64</v>
      </c>
      <c r="D36" s="49">
        <v>83075000</v>
      </c>
      <c r="E36" s="2"/>
    </row>
    <row r="37" spans="1:5" ht="15.75">
      <c r="A37" s="20"/>
      <c r="B37" s="20"/>
      <c r="C37" s="19" t="s">
        <v>68</v>
      </c>
      <c r="D37" s="26">
        <f>SUM(D38:D41)</f>
        <v>62332910</v>
      </c>
      <c r="E37" s="2"/>
    </row>
    <row r="38" spans="1:5" ht="14.25">
      <c r="A38" s="20"/>
      <c r="B38" s="20"/>
      <c r="C38" s="17" t="s">
        <v>22</v>
      </c>
      <c r="D38" s="49">
        <v>62332910</v>
      </c>
      <c r="E38" s="2"/>
    </row>
    <row r="39" spans="1:5" ht="14.25">
      <c r="A39" s="20"/>
      <c r="B39" s="20"/>
      <c r="C39" s="17" t="s">
        <v>23</v>
      </c>
      <c r="D39" s="49"/>
      <c r="E39" s="2"/>
    </row>
    <row r="40" spans="1:5" ht="14.25">
      <c r="A40" s="20"/>
      <c r="B40" s="20"/>
      <c r="C40" s="17" t="s">
        <v>24</v>
      </c>
      <c r="D40" s="49"/>
      <c r="E40" s="2"/>
    </row>
    <row r="41" spans="1:5" ht="14.25">
      <c r="A41" s="20"/>
      <c r="B41" s="20"/>
      <c r="C41" s="17" t="s">
        <v>43</v>
      </c>
      <c r="D41" s="49"/>
      <c r="E41" s="2"/>
    </row>
    <row r="42" spans="1:5" s="6" customFormat="1" ht="17.25">
      <c r="A42" s="31" t="s">
        <v>70</v>
      </c>
      <c r="B42" s="123">
        <f>B5-D5</f>
        <v>228012946</v>
      </c>
      <c r="C42" s="123"/>
      <c r="D42" s="123"/>
      <c r="E42" s="21"/>
    </row>
    <row r="44" spans="1:5" ht="15.75">
      <c r="A44" s="33" t="s">
        <v>71</v>
      </c>
      <c r="B44" s="33" t="s">
        <v>72</v>
      </c>
    </row>
    <row r="45" spans="1:5" ht="16.5" customHeight="1">
      <c r="A45" s="35" t="s">
        <v>56</v>
      </c>
      <c r="B45" s="35">
        <v>0</v>
      </c>
    </row>
    <row r="46" spans="1:5" ht="16.5" customHeight="1">
      <c r="A46" s="17" t="s">
        <v>57</v>
      </c>
      <c r="B46" s="17">
        <v>2467000000</v>
      </c>
    </row>
    <row r="47" spans="1:5" ht="18" customHeight="1">
      <c r="A47" s="37" t="s">
        <v>60</v>
      </c>
      <c r="B47" s="36">
        <f>B45+B46</f>
        <v>2467000000</v>
      </c>
    </row>
    <row r="50" spans="1:5" ht="15.75">
      <c r="A50" s="33" t="s">
        <v>52</v>
      </c>
      <c r="B50" s="33" t="s">
        <v>72</v>
      </c>
    </row>
    <row r="51" spans="1:5" ht="19.5" customHeight="1">
      <c r="A51" s="32" t="s">
        <v>0</v>
      </c>
      <c r="B51" s="32">
        <v>35296337</v>
      </c>
    </row>
    <row r="52" spans="1:5" s="14" customFormat="1" ht="19.5" customHeight="1">
      <c r="A52" s="17" t="s">
        <v>90</v>
      </c>
      <c r="B52" s="17">
        <v>769330</v>
      </c>
      <c r="D52" s="7"/>
      <c r="E52" s="7"/>
    </row>
    <row r="53" spans="1:5" s="14" customFormat="1" ht="19.5" customHeight="1">
      <c r="A53" s="17" t="s">
        <v>85</v>
      </c>
      <c r="B53" s="17">
        <v>9214450</v>
      </c>
      <c r="D53" s="7"/>
      <c r="E53" s="7"/>
    </row>
    <row r="54" spans="1:5" s="14" customFormat="1" ht="19.5" customHeight="1">
      <c r="A54" s="56" t="s">
        <v>94</v>
      </c>
      <c r="B54" s="56">
        <v>600365</v>
      </c>
      <c r="D54" s="7"/>
      <c r="E54" s="7"/>
    </row>
    <row r="55" spans="1:5" s="14" customFormat="1" ht="19.5" customHeight="1">
      <c r="A55" s="56" t="s">
        <v>95</v>
      </c>
      <c r="B55" s="56">
        <v>6941890</v>
      </c>
      <c r="D55" s="7"/>
      <c r="E55" s="7"/>
    </row>
    <row r="56" spans="1:5" s="14" customFormat="1" ht="19.5" customHeight="1">
      <c r="A56" s="56" t="s">
        <v>79</v>
      </c>
      <c r="B56" s="56">
        <v>4000000</v>
      </c>
      <c r="D56" s="7"/>
      <c r="E56" s="7"/>
    </row>
    <row r="57" spans="1:5" s="14" customFormat="1" ht="19.5" customHeight="1">
      <c r="A57" s="56" t="s">
        <v>91</v>
      </c>
      <c r="B57" s="56">
        <v>171988901</v>
      </c>
      <c r="D57" s="7"/>
      <c r="E57" s="7"/>
    </row>
    <row r="58" spans="1:5" s="14" customFormat="1" ht="19.5" customHeight="1">
      <c r="A58" s="56" t="s">
        <v>96</v>
      </c>
      <c r="B58" s="56">
        <v>1182755</v>
      </c>
      <c r="D58" s="7"/>
      <c r="E58" s="7"/>
    </row>
    <row r="59" spans="1:5" s="14" customFormat="1" ht="19.5" customHeight="1">
      <c r="A59" s="56" t="s">
        <v>97</v>
      </c>
      <c r="B59" s="56">
        <v>16107850</v>
      </c>
      <c r="D59" s="7"/>
      <c r="E59" s="7"/>
    </row>
    <row r="60" spans="1:5" s="14" customFormat="1" ht="15.75">
      <c r="A60" s="37" t="s">
        <v>60</v>
      </c>
      <c r="B60" s="36">
        <f>SUM(B51:B59)</f>
        <v>246101878</v>
      </c>
      <c r="D60" s="7"/>
      <c r="E60" s="7"/>
    </row>
    <row r="62" spans="1:5" s="14" customFormat="1" ht="15.75">
      <c r="A62" s="47" t="s">
        <v>75</v>
      </c>
      <c r="B62" s="38"/>
      <c r="D62" s="7"/>
      <c r="E62" s="7"/>
    </row>
    <row r="63" spans="1:5" s="14" customFormat="1">
      <c r="A63" s="23"/>
      <c r="B63" s="7"/>
      <c r="D63" s="7"/>
      <c r="E63" s="7"/>
    </row>
    <row r="64" spans="1:5" s="14" customFormat="1">
      <c r="A64" s="23"/>
      <c r="B64" s="7"/>
      <c r="D64" s="7"/>
      <c r="E64" s="7"/>
    </row>
    <row r="65" spans="1:5" s="14" customFormat="1">
      <c r="A65" s="23"/>
      <c r="B65" s="7"/>
      <c r="D65" s="7"/>
      <c r="E65" s="7"/>
    </row>
    <row r="66" spans="1:5" s="14" customFormat="1" ht="15.75">
      <c r="A66" s="48" t="s">
        <v>76</v>
      </c>
      <c r="B66" s="7"/>
      <c r="D66" s="7"/>
      <c r="E66" s="7"/>
    </row>
  </sheetData>
  <mergeCells count="2">
    <mergeCell ref="A1:D1"/>
    <mergeCell ref="B42:D42"/>
  </mergeCells>
  <pageMargins left="0.86" right="0.14000000000000001" top="0.17" bottom="0.09" header="0.16" footer="0.09"/>
  <pageSetup scale="75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FFFF"/>
  </sheetPr>
  <dimension ref="A1:E65"/>
  <sheetViews>
    <sheetView topLeftCell="A19" workbookViewId="0">
      <selection activeCell="B8" sqref="B8:B11"/>
    </sheetView>
  </sheetViews>
  <sheetFormatPr defaultRowHeight="12.75"/>
  <cols>
    <col min="1" max="1" width="40.42578125" style="7" customWidth="1"/>
    <col min="2" max="2" width="17.85546875" style="7" customWidth="1"/>
    <col min="3" max="3" width="39.5703125" style="14" customWidth="1"/>
    <col min="4" max="4" width="21.140625" style="7" customWidth="1"/>
    <col min="5" max="16384" width="9.140625" style="7"/>
  </cols>
  <sheetData>
    <row r="1" spans="1:5" ht="31.5" customHeight="1">
      <c r="A1" s="122" t="s">
        <v>99</v>
      </c>
      <c r="B1" s="122"/>
      <c r="C1" s="122"/>
      <c r="D1" s="122"/>
      <c r="E1" s="2"/>
    </row>
    <row r="2" spans="1:5" ht="13.5" customHeight="1">
      <c r="A2" s="59"/>
      <c r="B2" s="59"/>
      <c r="C2" s="59"/>
      <c r="D2" s="59"/>
      <c r="E2" s="2"/>
    </row>
    <row r="3" spans="1:5" ht="15.75">
      <c r="A3" s="11" t="s">
        <v>7</v>
      </c>
      <c r="B3" s="11" t="s">
        <v>65</v>
      </c>
      <c r="C3" s="11" t="s">
        <v>7</v>
      </c>
      <c r="D3" s="11" t="s">
        <v>65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20</v>
      </c>
      <c r="B5" s="25">
        <f>B6+B19+B20</f>
        <v>999586237</v>
      </c>
      <c r="C5" s="24" t="s">
        <v>69</v>
      </c>
      <c r="D5" s="25">
        <f>D6+D9+D17+D25+D33+D34+D37</f>
        <v>315404556</v>
      </c>
      <c r="E5" s="2"/>
    </row>
    <row r="6" spans="1:5" s="10" customFormat="1" ht="15.75">
      <c r="A6" s="19" t="s">
        <v>10</v>
      </c>
      <c r="B6" s="26">
        <f>B7+B12+B16</f>
        <v>990844932</v>
      </c>
      <c r="C6" s="19" t="s">
        <v>2</v>
      </c>
      <c r="D6" s="19">
        <f>SUM(D7:D8)</f>
        <v>24020870</v>
      </c>
      <c r="E6" s="9"/>
    </row>
    <row r="7" spans="1:5" s="16" customFormat="1" ht="15.75">
      <c r="A7" s="27" t="s">
        <v>8</v>
      </c>
      <c r="B7" s="27">
        <f>SUM(B8:B11)</f>
        <v>184857750</v>
      </c>
      <c r="C7" s="17" t="s">
        <v>6</v>
      </c>
      <c r="D7" s="52"/>
      <c r="E7" s="15"/>
    </row>
    <row r="8" spans="1:5" ht="14.25">
      <c r="A8" s="17" t="s">
        <v>48</v>
      </c>
      <c r="B8" s="49">
        <v>159218990</v>
      </c>
      <c r="C8" s="17" t="s">
        <v>29</v>
      </c>
      <c r="D8" s="51">
        <v>24020870</v>
      </c>
      <c r="E8" s="2"/>
    </row>
    <row r="9" spans="1:5" ht="15.75">
      <c r="A9" s="17" t="s">
        <v>49</v>
      </c>
      <c r="B9" s="49">
        <v>24758760</v>
      </c>
      <c r="C9" s="19" t="s">
        <v>66</v>
      </c>
      <c r="D9" s="28">
        <f>SUM(D10:D16)</f>
        <v>41869585</v>
      </c>
      <c r="E9" s="2"/>
    </row>
    <row r="10" spans="1:5" ht="14.25">
      <c r="A10" s="17" t="s">
        <v>50</v>
      </c>
      <c r="B10" s="49">
        <v>880000</v>
      </c>
      <c r="C10" s="17" t="s">
        <v>11</v>
      </c>
      <c r="D10" s="49">
        <v>20684114</v>
      </c>
      <c r="E10" s="2"/>
    </row>
    <row r="11" spans="1:5" ht="14.25">
      <c r="A11" s="49" t="s">
        <v>51</v>
      </c>
      <c r="B11" s="49"/>
      <c r="C11" s="17" t="s">
        <v>12</v>
      </c>
      <c r="D11" s="49"/>
      <c r="E11" s="2"/>
    </row>
    <row r="12" spans="1:5" s="16" customFormat="1" ht="15.75">
      <c r="A12" s="27" t="s">
        <v>9</v>
      </c>
      <c r="B12" s="27">
        <f t="shared" ref="B12" si="0">SUM(B13:B15)</f>
        <v>774543682</v>
      </c>
      <c r="C12" s="17" t="s">
        <v>13</v>
      </c>
      <c r="D12" s="49">
        <v>993460</v>
      </c>
      <c r="E12" s="15"/>
    </row>
    <row r="13" spans="1:5" ht="14.25">
      <c r="A13" s="17" t="s">
        <v>48</v>
      </c>
      <c r="B13" s="17">
        <v>686280084</v>
      </c>
      <c r="C13" s="17" t="s">
        <v>26</v>
      </c>
      <c r="D13" s="49">
        <v>17166000</v>
      </c>
      <c r="E13" s="2"/>
    </row>
    <row r="14" spans="1:5" ht="14.25">
      <c r="A14" s="17" t="s">
        <v>49</v>
      </c>
      <c r="B14" s="17">
        <v>74446198</v>
      </c>
      <c r="C14" s="17" t="s">
        <v>44</v>
      </c>
      <c r="D14" s="49"/>
      <c r="E14" s="2"/>
    </row>
    <row r="15" spans="1:5" ht="14.25">
      <c r="A15" s="17" t="s">
        <v>51</v>
      </c>
      <c r="B15" s="17">
        <v>13817400</v>
      </c>
      <c r="C15" s="17" t="s">
        <v>25</v>
      </c>
      <c r="D15" s="49">
        <v>2268000</v>
      </c>
      <c r="E15" s="2"/>
    </row>
    <row r="16" spans="1:5" ht="15.75">
      <c r="A16" s="27" t="s">
        <v>61</v>
      </c>
      <c r="B16" s="27">
        <f t="shared" ref="B16" si="1">SUM(B17:B18)</f>
        <v>31443500</v>
      </c>
      <c r="C16" s="17" t="s">
        <v>14</v>
      </c>
      <c r="D16" s="49">
        <v>758011</v>
      </c>
      <c r="E16" s="2"/>
    </row>
    <row r="17" spans="1:5" ht="15.75">
      <c r="A17" s="17" t="s">
        <v>62</v>
      </c>
      <c r="B17" s="49">
        <v>31443500</v>
      </c>
      <c r="C17" s="19" t="s">
        <v>67</v>
      </c>
      <c r="D17" s="26">
        <f t="shared" ref="D17" si="2">SUM(D18:D24)</f>
        <v>182397962</v>
      </c>
      <c r="E17" s="2"/>
    </row>
    <row r="18" spans="1:5" ht="14.25">
      <c r="A18" s="17" t="s">
        <v>63</v>
      </c>
      <c r="B18" s="17"/>
      <c r="C18" s="17" t="s">
        <v>11</v>
      </c>
      <c r="D18" s="49">
        <v>58511052</v>
      </c>
      <c r="E18" s="2"/>
    </row>
    <row r="19" spans="1:5" s="10" customFormat="1" ht="17.25" customHeight="1">
      <c r="A19" s="19" t="s">
        <v>18</v>
      </c>
      <c r="B19" s="52">
        <v>175405</v>
      </c>
      <c r="C19" s="17" t="s">
        <v>12</v>
      </c>
      <c r="D19" s="49"/>
      <c r="E19" s="9"/>
    </row>
    <row r="20" spans="1:5" s="10" customFormat="1" ht="15.75">
      <c r="A20" s="19" t="s">
        <v>19</v>
      </c>
      <c r="B20" s="26">
        <f>SUM(B21:B22)</f>
        <v>8565900</v>
      </c>
      <c r="C20" s="17" t="s">
        <v>13</v>
      </c>
      <c r="D20" s="49">
        <v>985798</v>
      </c>
      <c r="E20" s="9"/>
    </row>
    <row r="21" spans="1:5" ht="14.25">
      <c r="A21" s="17" t="s">
        <v>21</v>
      </c>
      <c r="B21" s="49">
        <v>6665900</v>
      </c>
      <c r="C21" s="17" t="s">
        <v>26</v>
      </c>
      <c r="D21" s="49">
        <v>43827000</v>
      </c>
      <c r="E21" s="2"/>
    </row>
    <row r="22" spans="1:5" ht="14.25">
      <c r="A22" s="17" t="s">
        <v>28</v>
      </c>
      <c r="B22" s="49">
        <v>1900000</v>
      </c>
      <c r="C22" s="17" t="s">
        <v>44</v>
      </c>
      <c r="D22" s="49"/>
      <c r="E22" s="2"/>
    </row>
    <row r="23" spans="1:5" ht="14.25">
      <c r="A23" s="20"/>
      <c r="B23" s="20"/>
      <c r="C23" s="17" t="s">
        <v>25</v>
      </c>
      <c r="D23" s="49"/>
      <c r="E23" s="2"/>
    </row>
    <row r="24" spans="1:5" s="10" customFormat="1" ht="14.25">
      <c r="A24" s="29"/>
      <c r="B24" s="29"/>
      <c r="C24" s="17" t="s">
        <v>14</v>
      </c>
      <c r="D24" s="49">
        <v>79074112</v>
      </c>
      <c r="E24" s="9"/>
    </row>
    <row r="25" spans="1:5" s="10" customFormat="1" ht="15.75">
      <c r="A25" s="29"/>
      <c r="B25" s="29"/>
      <c r="C25" s="19" t="s">
        <v>3</v>
      </c>
      <c r="D25" s="26">
        <f t="shared" ref="D25" si="3">SUM(D26:D32)</f>
        <v>15706304</v>
      </c>
      <c r="E25" s="9"/>
    </row>
    <row r="26" spans="1:5" ht="14.25">
      <c r="A26" s="20"/>
      <c r="B26" s="20"/>
      <c r="C26" s="17" t="s">
        <v>27</v>
      </c>
      <c r="D26" s="51">
        <v>3935000</v>
      </c>
      <c r="E26" s="2"/>
    </row>
    <row r="27" spans="1:5" ht="14.25">
      <c r="A27" s="20"/>
      <c r="B27" s="20"/>
      <c r="C27" s="17" t="s">
        <v>15</v>
      </c>
      <c r="D27" s="51">
        <v>60150</v>
      </c>
      <c r="E27" s="2"/>
    </row>
    <row r="28" spans="1:5" ht="14.25">
      <c r="A28" s="20"/>
      <c r="B28" s="20"/>
      <c r="C28" s="17" t="s">
        <v>16</v>
      </c>
      <c r="D28" s="51"/>
      <c r="E28" s="2"/>
    </row>
    <row r="29" spans="1:5" ht="14.25">
      <c r="A29" s="20"/>
      <c r="B29" s="20"/>
      <c r="C29" s="17" t="s">
        <v>17</v>
      </c>
      <c r="D29" s="51"/>
      <c r="E29" s="2"/>
    </row>
    <row r="30" spans="1:5" ht="14.25">
      <c r="A30" s="20"/>
      <c r="B30" s="20"/>
      <c r="C30" s="17" t="s">
        <v>45</v>
      </c>
      <c r="D30" s="51"/>
      <c r="E30" s="2"/>
    </row>
    <row r="31" spans="1:5" ht="14.25">
      <c r="A31" s="20"/>
      <c r="B31" s="20"/>
      <c r="C31" s="17" t="s">
        <v>26</v>
      </c>
      <c r="D31" s="51"/>
      <c r="E31" s="2"/>
    </row>
    <row r="32" spans="1:5" ht="14.25">
      <c r="A32" s="20"/>
      <c r="B32" s="20"/>
      <c r="C32" s="17" t="s">
        <v>14</v>
      </c>
      <c r="D32" s="49">
        <v>11711154</v>
      </c>
      <c r="E32" s="2"/>
    </row>
    <row r="33" spans="1:5" s="10" customFormat="1" ht="15.75">
      <c r="A33" s="29"/>
      <c r="B33" s="29"/>
      <c r="C33" s="19" t="s">
        <v>4</v>
      </c>
      <c r="D33" s="54">
        <v>50358226</v>
      </c>
      <c r="E33" s="9"/>
    </row>
    <row r="34" spans="1:5" ht="15.75">
      <c r="A34" s="20"/>
      <c r="B34" s="20"/>
      <c r="C34" s="19" t="s">
        <v>5</v>
      </c>
      <c r="D34" s="19">
        <f t="shared" ref="D34" si="4">SUM(D35:D36)</f>
        <v>340000</v>
      </c>
      <c r="E34" s="2"/>
    </row>
    <row r="35" spans="1:5" ht="14.25">
      <c r="A35" s="20"/>
      <c r="B35" s="20"/>
      <c r="C35" s="17" t="s">
        <v>36</v>
      </c>
      <c r="D35" s="49"/>
      <c r="E35" s="2"/>
    </row>
    <row r="36" spans="1:5" ht="14.25">
      <c r="A36" s="20"/>
      <c r="B36" s="20"/>
      <c r="C36" s="17" t="s">
        <v>64</v>
      </c>
      <c r="D36" s="49">
        <v>340000</v>
      </c>
      <c r="E36" s="2"/>
    </row>
    <row r="37" spans="1:5" ht="15.75">
      <c r="A37" s="20"/>
      <c r="B37" s="20"/>
      <c r="C37" s="19" t="s">
        <v>68</v>
      </c>
      <c r="D37" s="26">
        <f>SUM(D38:D41)</f>
        <v>711609</v>
      </c>
      <c r="E37" s="2"/>
    </row>
    <row r="38" spans="1:5" ht="14.25">
      <c r="A38" s="20"/>
      <c r="B38" s="20"/>
      <c r="C38" s="17" t="s">
        <v>22</v>
      </c>
      <c r="D38" s="61">
        <v>711609</v>
      </c>
      <c r="E38" s="2"/>
    </row>
    <row r="39" spans="1:5" ht="14.25">
      <c r="A39" s="20"/>
      <c r="B39" s="20"/>
      <c r="C39" s="17" t="s">
        <v>23</v>
      </c>
      <c r="D39" s="49"/>
      <c r="E39" s="2"/>
    </row>
    <row r="40" spans="1:5" ht="14.25">
      <c r="A40" s="20"/>
      <c r="B40" s="20"/>
      <c r="C40" s="17" t="s">
        <v>24</v>
      </c>
      <c r="D40" s="49"/>
      <c r="E40" s="2"/>
    </row>
    <row r="41" spans="1:5" ht="14.25">
      <c r="A41" s="20"/>
      <c r="B41" s="20"/>
      <c r="C41" s="17" t="s">
        <v>43</v>
      </c>
      <c r="D41" s="49"/>
      <c r="E41" s="2"/>
    </row>
    <row r="42" spans="1:5" s="6" customFormat="1" ht="17.25">
      <c r="A42" s="31" t="s">
        <v>70</v>
      </c>
      <c r="B42" s="123">
        <f>B5-D5</f>
        <v>684181681</v>
      </c>
      <c r="C42" s="123"/>
      <c r="D42" s="123"/>
      <c r="E42" s="21"/>
    </row>
    <row r="44" spans="1:5" ht="15.75">
      <c r="A44" s="33" t="s">
        <v>71</v>
      </c>
      <c r="B44" s="33" t="s">
        <v>72</v>
      </c>
    </row>
    <row r="45" spans="1:5" ht="16.5" customHeight="1">
      <c r="A45" s="35" t="s">
        <v>56</v>
      </c>
      <c r="B45" s="35">
        <v>0</v>
      </c>
    </row>
    <row r="46" spans="1:5" ht="16.5" customHeight="1">
      <c r="A46" s="17" t="s">
        <v>57</v>
      </c>
      <c r="B46" s="17">
        <v>2327000000</v>
      </c>
    </row>
    <row r="47" spans="1:5" ht="18" customHeight="1">
      <c r="A47" s="37" t="s">
        <v>60</v>
      </c>
      <c r="B47" s="36">
        <f>B45+B46</f>
        <v>2327000000</v>
      </c>
    </row>
    <row r="50" spans="1:5" ht="15.75">
      <c r="A50" s="33" t="s">
        <v>52</v>
      </c>
      <c r="B50" s="33" t="s">
        <v>72</v>
      </c>
    </row>
    <row r="51" spans="1:5" ht="19.5" customHeight="1">
      <c r="A51" s="32" t="s">
        <v>0</v>
      </c>
      <c r="B51" s="32">
        <v>42000662</v>
      </c>
    </row>
    <row r="52" spans="1:5" s="14" customFormat="1" ht="19.5" customHeight="1">
      <c r="A52" s="17" t="s">
        <v>77</v>
      </c>
      <c r="B52" s="17">
        <v>8336315</v>
      </c>
      <c r="D52" s="7"/>
      <c r="E52" s="7"/>
    </row>
    <row r="53" spans="1:5" s="14" customFormat="1" ht="19.5" customHeight="1">
      <c r="A53" s="17" t="s">
        <v>84</v>
      </c>
      <c r="B53" s="17">
        <v>8877200</v>
      </c>
      <c r="D53" s="7"/>
      <c r="E53" s="7"/>
    </row>
    <row r="54" spans="1:5" s="14" customFormat="1" ht="19.5" customHeight="1">
      <c r="A54" s="56" t="s">
        <v>100</v>
      </c>
      <c r="B54" s="56">
        <v>670000</v>
      </c>
      <c r="D54" s="7"/>
      <c r="E54" s="7"/>
    </row>
    <row r="55" spans="1:5" s="14" customFormat="1" ht="19.5" customHeight="1">
      <c r="A55" s="56" t="s">
        <v>79</v>
      </c>
      <c r="B55" s="56">
        <v>3500000</v>
      </c>
      <c r="D55" s="7"/>
      <c r="E55" s="7"/>
    </row>
    <row r="56" spans="1:5" s="14" customFormat="1" ht="19.5" customHeight="1">
      <c r="A56" s="56" t="s">
        <v>91</v>
      </c>
      <c r="B56" s="56">
        <v>184807901</v>
      </c>
      <c r="D56" s="7"/>
      <c r="E56" s="7"/>
    </row>
    <row r="57" spans="1:5" s="14" customFormat="1" ht="19.5" customHeight="1">
      <c r="A57" s="56" t="s">
        <v>97</v>
      </c>
      <c r="B57" s="56">
        <v>30963524</v>
      </c>
      <c r="D57" s="7"/>
      <c r="E57" s="7"/>
    </row>
    <row r="58" spans="1:5" s="14" customFormat="1" ht="19.5" customHeight="1">
      <c r="A58" s="56" t="s">
        <v>101</v>
      </c>
      <c r="B58" s="56">
        <v>7683813</v>
      </c>
      <c r="D58" s="7"/>
      <c r="E58" s="7"/>
    </row>
    <row r="59" spans="1:5" s="14" customFormat="1" ht="15.75">
      <c r="A59" s="37" t="s">
        <v>60</v>
      </c>
      <c r="B59" s="36">
        <f>SUM(B51:B58)</f>
        <v>286839415</v>
      </c>
      <c r="D59" s="7"/>
      <c r="E59" s="7"/>
    </row>
    <row r="61" spans="1:5" s="14" customFormat="1" ht="15.75">
      <c r="A61" s="47" t="s">
        <v>75</v>
      </c>
      <c r="B61" s="38"/>
      <c r="D61" s="7"/>
      <c r="E61" s="7"/>
    </row>
    <row r="62" spans="1:5" s="14" customFormat="1">
      <c r="A62" s="23"/>
      <c r="B62" s="7"/>
      <c r="D62" s="7"/>
      <c r="E62" s="7"/>
    </row>
    <row r="63" spans="1:5" s="14" customFormat="1">
      <c r="A63" s="23"/>
      <c r="B63" s="7"/>
      <c r="D63" s="7"/>
      <c r="E63" s="7"/>
    </row>
    <row r="64" spans="1:5" s="14" customFormat="1">
      <c r="A64" s="23"/>
      <c r="B64" s="7"/>
      <c r="D64" s="7"/>
      <c r="E64" s="7"/>
    </row>
    <row r="65" spans="1:5" s="14" customFormat="1" ht="15.75">
      <c r="A65" s="48" t="s">
        <v>76</v>
      </c>
      <c r="B65" s="7"/>
      <c r="D65" s="7"/>
      <c r="E65" s="7"/>
    </row>
  </sheetData>
  <mergeCells count="2">
    <mergeCell ref="A1:D1"/>
    <mergeCell ref="B42:D42"/>
  </mergeCells>
  <pageMargins left="0.86" right="0.14000000000000001" top="0.17" bottom="0.09" header="0.16" footer="0.09"/>
  <pageSetup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6600"/>
  </sheetPr>
  <dimension ref="A1:T91"/>
  <sheetViews>
    <sheetView tabSelected="1" zoomScale="91" zoomScaleNormal="91" workbookViewId="0">
      <selection activeCell="J29" sqref="J29"/>
    </sheetView>
  </sheetViews>
  <sheetFormatPr defaultRowHeight="12.75"/>
  <cols>
    <col min="1" max="1" width="35.7109375" style="7" customWidth="1"/>
    <col min="2" max="2" width="11.5703125" style="7" customWidth="1"/>
    <col min="3" max="3" width="11" style="7" customWidth="1"/>
    <col min="4" max="4" width="10.7109375" style="7" customWidth="1"/>
    <col min="5" max="5" width="11" style="7" customWidth="1"/>
    <col min="6" max="6" width="12.5703125" style="7" customWidth="1"/>
    <col min="7" max="7" width="11.5703125" style="7" customWidth="1"/>
    <col min="8" max="8" width="10.85546875" style="7" customWidth="1"/>
    <col min="9" max="10" width="11.28515625" style="7" customWidth="1"/>
    <col min="11" max="11" width="10.5703125" style="7" customWidth="1"/>
    <col min="12" max="12" width="10.7109375" style="7" customWidth="1"/>
    <col min="13" max="13" width="12.140625" style="7" customWidth="1"/>
    <col min="14" max="14" width="13.140625" style="88" customWidth="1"/>
    <col min="15" max="15" width="4.5703125" style="7" customWidth="1"/>
    <col min="16" max="16" width="5.28515625" style="7" customWidth="1"/>
    <col min="17" max="16384" width="9.140625" style="7"/>
  </cols>
  <sheetData>
    <row r="1" spans="1:20" ht="14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"/>
      <c r="P1" s="2"/>
      <c r="Q1" s="2"/>
      <c r="R1" s="2"/>
      <c r="S1" s="2"/>
      <c r="T1" s="2"/>
    </row>
    <row r="2" spans="1:20" ht="21" customHeight="1">
      <c r="A2" s="118" t="s">
        <v>173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2"/>
      <c r="P2" s="2"/>
      <c r="Q2" s="2"/>
      <c r="R2" s="2"/>
      <c r="S2" s="2"/>
      <c r="T2" s="2"/>
    </row>
    <row r="3" spans="1:20" ht="15.75">
      <c r="A3" s="108"/>
      <c r="B3" s="108"/>
      <c r="C3" s="108"/>
      <c r="D3" s="108"/>
      <c r="E3" s="108"/>
      <c r="F3" s="108"/>
      <c r="G3" s="109"/>
      <c r="H3" s="109"/>
      <c r="I3" s="109"/>
      <c r="J3" s="109"/>
      <c r="K3" s="109"/>
      <c r="L3" s="109"/>
      <c r="M3" s="109"/>
      <c r="N3" s="109"/>
      <c r="O3" s="2"/>
      <c r="P3" s="2"/>
      <c r="Q3" s="2"/>
      <c r="R3" s="2"/>
      <c r="S3" s="2"/>
      <c r="T3" s="2"/>
    </row>
    <row r="4" spans="1:20" ht="15.75">
      <c r="A4" s="75" t="s">
        <v>7</v>
      </c>
      <c r="B4" s="75" t="s">
        <v>119</v>
      </c>
      <c r="C4" s="75" t="s">
        <v>120</v>
      </c>
      <c r="D4" s="75" t="s">
        <v>121</v>
      </c>
      <c r="E4" s="75" t="s">
        <v>122</v>
      </c>
      <c r="F4" s="75" t="s">
        <v>123</v>
      </c>
      <c r="G4" s="75" t="s">
        <v>124</v>
      </c>
      <c r="H4" s="75" t="s">
        <v>125</v>
      </c>
      <c r="I4" s="75" t="s">
        <v>126</v>
      </c>
      <c r="J4" s="75" t="s">
        <v>127</v>
      </c>
      <c r="K4" s="75" t="s">
        <v>128</v>
      </c>
      <c r="L4" s="75" t="s">
        <v>129</v>
      </c>
      <c r="M4" s="75" t="s">
        <v>130</v>
      </c>
      <c r="N4" s="75" t="s">
        <v>131</v>
      </c>
      <c r="O4" s="2"/>
      <c r="P4" s="2"/>
      <c r="Q4" s="2"/>
      <c r="R4" s="2"/>
      <c r="S4" s="2"/>
      <c r="T4" s="2"/>
    </row>
    <row r="5" spans="1:20" ht="15.75">
      <c r="A5" s="76">
        <v>1</v>
      </c>
      <c r="B5" s="76">
        <v>2</v>
      </c>
      <c r="C5" s="76">
        <v>3</v>
      </c>
      <c r="D5" s="76">
        <v>4</v>
      </c>
      <c r="E5" s="76">
        <v>5</v>
      </c>
      <c r="F5" s="76">
        <v>6</v>
      </c>
      <c r="G5" s="76">
        <v>7</v>
      </c>
      <c r="H5" s="76">
        <v>8</v>
      </c>
      <c r="I5" s="76">
        <v>9</v>
      </c>
      <c r="J5" s="76">
        <v>10</v>
      </c>
      <c r="K5" s="76">
        <v>11</v>
      </c>
      <c r="L5" s="76">
        <v>12</v>
      </c>
      <c r="M5" s="76">
        <v>13</v>
      </c>
      <c r="N5" s="76">
        <v>14</v>
      </c>
      <c r="O5" s="2"/>
      <c r="P5" s="2"/>
      <c r="Q5" s="2"/>
      <c r="R5" s="2"/>
      <c r="S5" s="2"/>
      <c r="T5" s="2"/>
    </row>
    <row r="6" spans="1:20" ht="15.75">
      <c r="A6" s="77" t="s">
        <v>20</v>
      </c>
      <c r="B6" s="78">
        <f>B7+B22+B23</f>
        <v>746406973</v>
      </c>
      <c r="C6" s="78">
        <f t="shared" ref="C6:L6" si="0">C7+C22+C23</f>
        <v>549330145</v>
      </c>
      <c r="D6" s="78">
        <f t="shared" si="0"/>
        <v>566156482</v>
      </c>
      <c r="E6" s="78">
        <f t="shared" si="0"/>
        <v>725278252</v>
      </c>
      <c r="F6" s="78">
        <f t="shared" si="0"/>
        <v>999586237</v>
      </c>
      <c r="G6" s="78">
        <f>G7+G22+G23</f>
        <v>660880491</v>
      </c>
      <c r="H6" s="78">
        <f t="shared" si="0"/>
        <v>868224973</v>
      </c>
      <c r="I6" s="78">
        <f t="shared" si="0"/>
        <v>711535198</v>
      </c>
      <c r="J6" s="78">
        <f t="shared" si="0"/>
        <v>714603506</v>
      </c>
      <c r="K6" s="78">
        <f t="shared" si="0"/>
        <v>928534640</v>
      </c>
      <c r="L6" s="78">
        <f t="shared" si="0"/>
        <v>838623848</v>
      </c>
      <c r="M6" s="78">
        <f>M7+M22+M23</f>
        <v>997530657</v>
      </c>
      <c r="N6" s="79">
        <f t="shared" ref="N6:N15" si="1">SUM(B6:M6)</f>
        <v>9306691402</v>
      </c>
      <c r="O6" s="2"/>
      <c r="P6" s="2"/>
      <c r="Q6" s="2"/>
      <c r="R6" s="2"/>
      <c r="S6" s="2"/>
      <c r="T6" s="2"/>
    </row>
    <row r="7" spans="1:20" s="10" customFormat="1" ht="15.75">
      <c r="A7" s="52" t="s">
        <v>10</v>
      </c>
      <c r="B7" s="62">
        <f>B8+B14+B19</f>
        <v>743664312</v>
      </c>
      <c r="C7" s="62">
        <f t="shared" ref="C7:J7" si="2">C8+C14+C19</f>
        <v>548185948</v>
      </c>
      <c r="D7" s="62">
        <f>D8+D14+D19</f>
        <v>561523815</v>
      </c>
      <c r="E7" s="62">
        <f t="shared" si="2"/>
        <v>724115768</v>
      </c>
      <c r="F7" s="62">
        <f t="shared" si="2"/>
        <v>990844932</v>
      </c>
      <c r="G7" s="62">
        <f t="shared" si="2"/>
        <v>659233247</v>
      </c>
      <c r="H7" s="62">
        <f t="shared" si="2"/>
        <v>865992306</v>
      </c>
      <c r="I7" s="62">
        <f t="shared" si="2"/>
        <v>711329006</v>
      </c>
      <c r="J7" s="62">
        <f t="shared" si="2"/>
        <v>714454276</v>
      </c>
      <c r="K7" s="62">
        <f>K8+K14+K19</f>
        <v>927640964</v>
      </c>
      <c r="L7" s="62">
        <f>L8+L14+L19</f>
        <v>838422423</v>
      </c>
      <c r="M7" s="62">
        <f>M8+M14+M19</f>
        <v>993007734</v>
      </c>
      <c r="N7" s="80">
        <f>SUM(B7:M7)</f>
        <v>9278414731</v>
      </c>
      <c r="O7" s="9"/>
      <c r="P7" s="9"/>
      <c r="Q7" s="9"/>
      <c r="R7" s="9"/>
      <c r="S7" s="9"/>
      <c r="T7" s="9"/>
    </row>
    <row r="8" spans="1:20" s="23" customFormat="1" ht="15.75">
      <c r="A8" s="111" t="s">
        <v>8</v>
      </c>
      <c r="B8" s="111">
        <f t="shared" ref="B8:F8" si="3">SUM(B9:B11)</f>
        <v>188856280</v>
      </c>
      <c r="C8" s="111">
        <f t="shared" si="3"/>
        <v>172106419</v>
      </c>
      <c r="D8" s="111">
        <f>SUM(D9:D12)</f>
        <v>189283382</v>
      </c>
      <c r="E8" s="111">
        <f t="shared" si="3"/>
        <v>181757367</v>
      </c>
      <c r="F8" s="111">
        <f t="shared" si="3"/>
        <v>184857750</v>
      </c>
      <c r="G8" s="111">
        <f>SUM(G9:G12)</f>
        <v>198376748</v>
      </c>
      <c r="H8" s="111">
        <f>SUM(H9:H12)</f>
        <v>198057941</v>
      </c>
      <c r="I8" s="111">
        <f>SUM(I9:I13)</f>
        <v>200376217</v>
      </c>
      <c r="J8" s="111">
        <f>SUM(J9:J13)</f>
        <v>212379805</v>
      </c>
      <c r="K8" s="111">
        <f>SUM(K9:K12)</f>
        <v>219697565</v>
      </c>
      <c r="L8" s="111">
        <f>SUM(L9:L13)</f>
        <v>215645725</v>
      </c>
      <c r="M8" s="111">
        <f>SUM(M9:M12)</f>
        <v>200277590</v>
      </c>
      <c r="N8" s="112">
        <f>SUM(B8:M8)</f>
        <v>2361672789</v>
      </c>
      <c r="O8" s="15"/>
      <c r="P8" s="15"/>
      <c r="Q8" s="15"/>
      <c r="R8" s="15"/>
      <c r="S8" s="15"/>
      <c r="T8" s="15"/>
    </row>
    <row r="9" spans="1:20" ht="14.25">
      <c r="A9" s="49" t="s">
        <v>48</v>
      </c>
      <c r="B9" s="49">
        <f>'[1]PT-01-14'!D35</f>
        <v>168648825</v>
      </c>
      <c r="C9" s="49">
        <f>'[1]PT-02-14'!D35-10048360</f>
        <v>158561235</v>
      </c>
      <c r="D9" s="49">
        <f>'[1]PT-03-14'!D35</f>
        <v>173094400</v>
      </c>
      <c r="E9" s="49">
        <f>'[1]PT-04-14'!D35</f>
        <v>159357696</v>
      </c>
      <c r="F9" s="49">
        <f>'[1]PT-05-14'!D36</f>
        <v>159218990</v>
      </c>
      <c r="G9" s="49">
        <f>'[1]PT-06-14'!D36</f>
        <v>171277529</v>
      </c>
      <c r="H9" s="63">
        <f>'[1]PT-07-14'!D36</f>
        <v>170062155</v>
      </c>
      <c r="I9" s="113">
        <f>'[1]PT-08-14'!D36</f>
        <v>169151896</v>
      </c>
      <c r="J9" s="65">
        <f>'[1]PT-09-14'!D36</f>
        <v>183985020</v>
      </c>
      <c r="K9" s="65">
        <f>'[1]PT-10-14'!D37</f>
        <v>195728610</v>
      </c>
      <c r="L9" s="65">
        <f>'[1]PT-11-14'!D37</f>
        <v>176916425</v>
      </c>
      <c r="M9" s="65">
        <f>'[1]PT-12-14'!D37</f>
        <v>174032570</v>
      </c>
      <c r="N9" s="81">
        <f t="shared" si="1"/>
        <v>2060035351</v>
      </c>
      <c r="O9" s="2"/>
      <c r="P9" s="2"/>
      <c r="Q9" s="2"/>
      <c r="R9" s="2"/>
      <c r="S9" s="2"/>
      <c r="T9" s="2"/>
    </row>
    <row r="10" spans="1:20" ht="14.25">
      <c r="A10" s="49" t="s">
        <v>49</v>
      </c>
      <c r="B10" s="49">
        <f>'[1]PT-01-14'!E35</f>
        <v>17827455</v>
      </c>
      <c r="C10" s="49">
        <f>'[1]PT-02-14'!E35</f>
        <v>12665184</v>
      </c>
      <c r="D10" s="49">
        <f>'[1]PT-03-14'!E35</f>
        <v>12808982</v>
      </c>
      <c r="E10" s="49">
        <f>'[1]PT-04-14'!E35</f>
        <v>21519671</v>
      </c>
      <c r="F10" s="49">
        <f>'[1]PT-05-14'!E36</f>
        <v>24758760</v>
      </c>
      <c r="G10" s="67">
        <f>'[1]PT-06-14'!E36</f>
        <v>24719219</v>
      </c>
      <c r="H10" s="63">
        <f>'[1]PT-07-14'!E36</f>
        <v>25175786</v>
      </c>
      <c r="I10" s="113">
        <f>'[1]PT-08-14'!E36</f>
        <v>25549664</v>
      </c>
      <c r="J10" s="65">
        <f>'[1]PT-09-14'!E36</f>
        <v>25574785</v>
      </c>
      <c r="K10" s="65">
        <f>'[1]PT-10-14'!E37</f>
        <v>21148955</v>
      </c>
      <c r="L10" s="65">
        <f>'[1]PT-11-14'!E37</f>
        <v>23683860</v>
      </c>
      <c r="M10" s="65">
        <f>'[1]PT-12-14'!E37</f>
        <v>23425020</v>
      </c>
      <c r="N10" s="81">
        <f t="shared" si="1"/>
        <v>258857341</v>
      </c>
      <c r="O10" s="2"/>
      <c r="P10" s="2"/>
      <c r="Q10" s="2"/>
      <c r="R10" s="2"/>
      <c r="S10" s="2"/>
      <c r="T10" s="2"/>
    </row>
    <row r="11" spans="1:20" ht="14.25">
      <c r="A11" s="49" t="s">
        <v>50</v>
      </c>
      <c r="B11" s="49">
        <f>'[1]PT-01-14'!F35+1500000</f>
        <v>2380000</v>
      </c>
      <c r="C11" s="49">
        <f>'[1]PT-02-14'!F35</f>
        <v>880000</v>
      </c>
      <c r="D11" s="49">
        <f>'[1]PT-03-14'!F35</f>
        <v>880000</v>
      </c>
      <c r="E11" s="49">
        <f>'[1]PT-04-14'!F35</f>
        <v>880000</v>
      </c>
      <c r="F11" s="49">
        <f>'[1]PT-05-14'!F36</f>
        <v>880000</v>
      </c>
      <c r="G11" s="67">
        <f>'[1]PT-06-14'!F36</f>
        <v>880000</v>
      </c>
      <c r="H11" s="63">
        <f>'[1]PT-07-14'!F36</f>
        <v>1320000</v>
      </c>
      <c r="I11" s="113">
        <f>'[1]PT-08-14'!F36</f>
        <v>1320000</v>
      </c>
      <c r="J11" s="65">
        <f>'[1]PT-09-14'!F36</f>
        <v>1320000</v>
      </c>
      <c r="K11" s="65">
        <f>'[1]PT-10-14'!F37</f>
        <v>1320000</v>
      </c>
      <c r="L11" s="65">
        <f>'[1]PT-11-14'!F37</f>
        <v>1320000</v>
      </c>
      <c r="M11" s="65">
        <f>'[1]PT-12-14'!F37</f>
        <v>1320000</v>
      </c>
      <c r="N11" s="81">
        <f t="shared" si="1"/>
        <v>14700000</v>
      </c>
      <c r="O11" s="2"/>
      <c r="P11" s="2"/>
      <c r="Q11" s="2"/>
      <c r="R11" s="2"/>
      <c r="S11" s="2"/>
      <c r="T11" s="2"/>
    </row>
    <row r="12" spans="1:20" ht="14.25">
      <c r="A12" s="49" t="s">
        <v>51</v>
      </c>
      <c r="B12" s="49"/>
      <c r="C12" s="51"/>
      <c r="D12" s="51">
        <v>2500000</v>
      </c>
      <c r="E12" s="51"/>
      <c r="F12" s="49"/>
      <c r="G12" s="67">
        <v>1500000</v>
      </c>
      <c r="H12" s="63">
        <v>1500000</v>
      </c>
      <c r="I12" s="113"/>
      <c r="J12" s="65">
        <v>1500000</v>
      </c>
      <c r="K12" s="65">
        <v>1500000</v>
      </c>
      <c r="L12" s="65">
        <f>1500000</f>
        <v>1500000</v>
      </c>
      <c r="M12" s="65">
        <v>1500000</v>
      </c>
      <c r="N12" s="81">
        <f t="shared" si="1"/>
        <v>11500000</v>
      </c>
      <c r="O12" s="2"/>
      <c r="P12" s="2"/>
      <c r="Q12" s="2"/>
      <c r="R12" s="2"/>
      <c r="S12" s="2"/>
      <c r="T12" s="2"/>
    </row>
    <row r="13" spans="1:20" ht="14.25">
      <c r="A13" s="49" t="s">
        <v>112</v>
      </c>
      <c r="B13" s="49"/>
      <c r="C13" s="51"/>
      <c r="D13" s="51"/>
      <c r="E13" s="51"/>
      <c r="F13" s="49"/>
      <c r="G13" s="67"/>
      <c r="H13" s="63"/>
      <c r="I13" s="113">
        <f>'[1]PT-08-14'!G36</f>
        <v>4354657</v>
      </c>
      <c r="J13" s="65"/>
      <c r="K13" s="65"/>
      <c r="L13" s="65">
        <v>12225440</v>
      </c>
      <c r="M13" s="65"/>
      <c r="N13" s="81">
        <f t="shared" si="1"/>
        <v>16580097</v>
      </c>
      <c r="O13" s="2"/>
      <c r="P13" s="2"/>
      <c r="Q13" s="2"/>
      <c r="R13" s="2"/>
      <c r="S13" s="2"/>
      <c r="T13" s="2"/>
    </row>
    <row r="14" spans="1:20" s="23" customFormat="1" ht="15.75">
      <c r="A14" s="111" t="s">
        <v>9</v>
      </c>
      <c r="B14" s="111">
        <f t="shared" ref="B14:M14" si="4">SUM(B15:B17)</f>
        <v>554808032</v>
      </c>
      <c r="C14" s="114">
        <f t="shared" si="4"/>
        <v>376079529</v>
      </c>
      <c r="D14" s="114">
        <f t="shared" si="4"/>
        <v>368740433</v>
      </c>
      <c r="E14" s="114">
        <f t="shared" si="4"/>
        <v>438315161</v>
      </c>
      <c r="F14" s="111">
        <f t="shared" si="4"/>
        <v>774543682</v>
      </c>
      <c r="G14" s="111">
        <f t="shared" si="4"/>
        <v>460856499</v>
      </c>
      <c r="H14" s="111">
        <f t="shared" si="4"/>
        <v>667934365</v>
      </c>
      <c r="I14" s="111">
        <f>SUM(I15:I18)</f>
        <v>510952789</v>
      </c>
      <c r="J14" s="111">
        <f t="shared" si="4"/>
        <v>498574471</v>
      </c>
      <c r="K14" s="111">
        <f t="shared" si="4"/>
        <v>707943399</v>
      </c>
      <c r="L14" s="111">
        <f t="shared" si="4"/>
        <v>622776698</v>
      </c>
      <c r="M14" s="111">
        <f t="shared" si="4"/>
        <v>520846968</v>
      </c>
      <c r="N14" s="112">
        <f t="shared" si="1"/>
        <v>6502372026</v>
      </c>
      <c r="O14" s="15"/>
      <c r="P14" s="15"/>
      <c r="Q14" s="15"/>
      <c r="R14" s="15"/>
      <c r="S14" s="15"/>
      <c r="T14" s="15"/>
    </row>
    <row r="15" spans="1:20" ht="14.25">
      <c r="A15" s="49" t="s">
        <v>48</v>
      </c>
      <c r="B15" s="49">
        <f>'[1]PT-01-14'!D51</f>
        <v>497530568</v>
      </c>
      <c r="C15" s="51">
        <f>'[1]PT-02-14'!D51</f>
        <v>317596285</v>
      </c>
      <c r="D15" s="51">
        <f>'[1]PT-03-14'!D51</f>
        <v>315067010</v>
      </c>
      <c r="E15" s="51">
        <f>'[1]PT-04-14'!D53</f>
        <v>353396939</v>
      </c>
      <c r="F15" s="49">
        <f>'[1]PT-05-14'!D55</f>
        <v>686280084</v>
      </c>
      <c r="G15" s="49">
        <f>'[1]PT-06-14'!D55-16887063</f>
        <v>359154422</v>
      </c>
      <c r="H15" s="63">
        <f>'[1]PT-07-14'!D55+9291915</f>
        <v>574048223</v>
      </c>
      <c r="I15" s="113">
        <f>'[1]PT-08-14'!D55</f>
        <v>393035457</v>
      </c>
      <c r="J15" s="65">
        <f>'[1]PT-09-14'!D56</f>
        <v>398845076</v>
      </c>
      <c r="K15" s="65">
        <f>'[1]PT-10-14'!D57</f>
        <v>621573505</v>
      </c>
      <c r="L15" s="65">
        <f>'[1]PT-11-14'!D59</f>
        <v>522946137</v>
      </c>
      <c r="M15" s="65">
        <f>'[1]PT-12-14'!D59</f>
        <v>423323743</v>
      </c>
      <c r="N15" s="81">
        <f t="shared" si="1"/>
        <v>5462797449</v>
      </c>
      <c r="O15" s="2"/>
      <c r="P15" s="2"/>
      <c r="Q15" s="2"/>
      <c r="R15" s="2"/>
      <c r="S15" s="2"/>
      <c r="T15" s="2"/>
    </row>
    <row r="16" spans="1:20" ht="14.25">
      <c r="A16" s="49" t="s">
        <v>49</v>
      </c>
      <c r="B16" s="49">
        <f>'[1]PT-01-14'!E51</f>
        <v>49276664</v>
      </c>
      <c r="C16" s="49">
        <f>'[1]PT-02-14'!E51</f>
        <v>49731644</v>
      </c>
      <c r="D16" s="49">
        <f>'[1]PT-03-14'!E51</f>
        <v>45755823</v>
      </c>
      <c r="E16" s="49">
        <f>'[1]PT-04-14'!E53</f>
        <v>76500022</v>
      </c>
      <c r="F16" s="49">
        <f>'[1]PT-05-14'!E55</f>
        <v>74446198</v>
      </c>
      <c r="G16" s="67">
        <f>'[1]PT-06-14'!E55</f>
        <v>90330077</v>
      </c>
      <c r="H16" s="63">
        <f>'[1]PT-07-14'!E55</f>
        <v>82300542</v>
      </c>
      <c r="I16" s="113">
        <f>'[1]PT-08-14'!E55</f>
        <v>87731911</v>
      </c>
      <c r="J16" s="65">
        <f>'[1]PT-09-14'!E56</f>
        <v>87743660</v>
      </c>
      <c r="K16" s="65">
        <f>'[1]PT-10-14'!E57</f>
        <v>74373509</v>
      </c>
      <c r="L16" s="65">
        <f>'[1]PT-11-14'!E59</f>
        <v>88347206</v>
      </c>
      <c r="M16" s="65">
        <f>'[1]PT-12-14'!E59</f>
        <v>86838825</v>
      </c>
      <c r="N16" s="81">
        <f t="shared" ref="N16:N20" si="5">SUM(B16:M16)</f>
        <v>893376081</v>
      </c>
      <c r="O16" s="2"/>
      <c r="P16" s="2"/>
      <c r="Q16" s="2"/>
      <c r="R16" s="2"/>
      <c r="S16" s="2"/>
      <c r="T16" s="2"/>
    </row>
    <row r="17" spans="1:20" ht="14.25">
      <c r="A17" s="49" t="s">
        <v>51</v>
      </c>
      <c r="B17" s="49">
        <f>'[1]PT-01-14'!G51+567000</f>
        <v>8000800</v>
      </c>
      <c r="C17" s="49">
        <f>'[1]PT-02-14'!G51+825000</f>
        <v>8751600</v>
      </c>
      <c r="D17" s="49">
        <f>'[1]PT-03-14'!G51+387000</f>
        <v>7917600</v>
      </c>
      <c r="E17" s="49">
        <f>'[1]PT-04-14'!G53+881000</f>
        <v>8418200</v>
      </c>
      <c r="F17" s="49">
        <f>'[1]PT-05-14'!G55+1416000</f>
        <v>13817400</v>
      </c>
      <c r="G17" s="67">
        <f>'[1]PT-06-14'!G55-'[1]PT-06-14'!G54+889000</f>
        <v>11372000</v>
      </c>
      <c r="H17" s="63">
        <f>'[1]PT-07-14'!G55+977000</f>
        <v>11585600</v>
      </c>
      <c r="I17" s="113">
        <f>'[1]PT-08-14'!G55-I18+864000</f>
        <v>12258650</v>
      </c>
      <c r="J17" s="65">
        <f>'[1]PT-09-14'!G56+560000</f>
        <v>11985735</v>
      </c>
      <c r="K17" s="65">
        <f>'[1]PT-10-14'!G57+920000</f>
        <v>11996385</v>
      </c>
      <c r="L17" s="65">
        <f>'[1]PT-11-14'!G59+1473000</f>
        <v>11483355</v>
      </c>
      <c r="M17" s="65">
        <f>'[1]PT-12-14'!G59+824000</f>
        <v>10684400</v>
      </c>
      <c r="N17" s="81">
        <f t="shared" si="5"/>
        <v>128271725</v>
      </c>
      <c r="O17" s="2"/>
      <c r="P17" s="2"/>
      <c r="Q17" s="2"/>
      <c r="R17" s="2"/>
      <c r="S17" s="2"/>
      <c r="T17" s="2"/>
    </row>
    <row r="18" spans="1:20" ht="14.25">
      <c r="A18" s="49" t="s">
        <v>112</v>
      </c>
      <c r="B18" s="49"/>
      <c r="C18" s="49"/>
      <c r="D18" s="49"/>
      <c r="E18" s="49"/>
      <c r="F18" s="49"/>
      <c r="G18" s="67"/>
      <c r="H18" s="63"/>
      <c r="I18" s="113">
        <v>17926771</v>
      </c>
      <c r="J18" s="65"/>
      <c r="K18" s="65"/>
      <c r="L18" s="65"/>
      <c r="M18" s="65"/>
      <c r="N18" s="81">
        <f t="shared" si="5"/>
        <v>17926771</v>
      </c>
      <c r="O18" s="2"/>
      <c r="P18" s="2"/>
      <c r="Q18" s="2"/>
      <c r="R18" s="2"/>
      <c r="S18" s="2"/>
      <c r="T18" s="2"/>
    </row>
    <row r="19" spans="1:20" ht="15.75">
      <c r="A19" s="111" t="s">
        <v>61</v>
      </c>
      <c r="B19" s="111">
        <f t="shared" ref="B19:M19" si="6">SUM(B20:B21)</f>
        <v>0</v>
      </c>
      <c r="C19" s="111">
        <f t="shared" si="6"/>
        <v>0</v>
      </c>
      <c r="D19" s="111">
        <f t="shared" si="6"/>
        <v>3500000</v>
      </c>
      <c r="E19" s="111">
        <f t="shared" si="6"/>
        <v>104043240</v>
      </c>
      <c r="F19" s="111">
        <f t="shared" si="6"/>
        <v>31443500</v>
      </c>
      <c r="G19" s="111">
        <f t="shared" si="6"/>
        <v>0</v>
      </c>
      <c r="H19" s="111">
        <f t="shared" si="6"/>
        <v>0</v>
      </c>
      <c r="I19" s="111">
        <f t="shared" si="6"/>
        <v>0</v>
      </c>
      <c r="J19" s="111">
        <f t="shared" si="6"/>
        <v>3500000</v>
      </c>
      <c r="K19" s="111">
        <f t="shared" si="6"/>
        <v>0</v>
      </c>
      <c r="L19" s="111">
        <f t="shared" si="6"/>
        <v>0</v>
      </c>
      <c r="M19" s="111">
        <f t="shared" si="6"/>
        <v>271883176</v>
      </c>
      <c r="N19" s="112">
        <f t="shared" si="5"/>
        <v>414369916</v>
      </c>
      <c r="O19" s="2"/>
      <c r="P19" s="2"/>
      <c r="Q19" s="2"/>
      <c r="R19" s="2"/>
      <c r="S19" s="2"/>
      <c r="T19" s="2"/>
    </row>
    <row r="20" spans="1:20" ht="14.25">
      <c r="A20" s="49" t="s">
        <v>62</v>
      </c>
      <c r="B20" s="49"/>
      <c r="C20" s="49"/>
      <c r="D20" s="49">
        <v>3500000</v>
      </c>
      <c r="E20" s="49"/>
      <c r="F20" s="49">
        <v>31443500</v>
      </c>
      <c r="G20" s="67"/>
      <c r="H20" s="63"/>
      <c r="I20" s="113"/>
      <c r="J20" s="65">
        <v>3500000</v>
      </c>
      <c r="K20" s="65"/>
      <c r="L20" s="65"/>
      <c r="M20" s="65"/>
      <c r="N20" s="81">
        <f t="shared" si="5"/>
        <v>38443500</v>
      </c>
      <c r="O20" s="2"/>
      <c r="P20" s="2"/>
      <c r="Q20" s="2"/>
      <c r="R20" s="2"/>
      <c r="S20" s="2"/>
      <c r="T20" s="2"/>
    </row>
    <row r="21" spans="1:20" ht="14.25">
      <c r="A21" s="49" t="s">
        <v>63</v>
      </c>
      <c r="B21" s="49"/>
      <c r="C21" s="49"/>
      <c r="D21" s="49"/>
      <c r="E21" s="49">
        <v>104043240</v>
      </c>
      <c r="F21" s="49"/>
      <c r="G21" s="67"/>
      <c r="H21" s="63"/>
      <c r="I21" s="113"/>
      <c r="J21" s="65"/>
      <c r="K21" s="65"/>
      <c r="L21" s="65"/>
      <c r="M21" s="65">
        <v>271883176</v>
      </c>
      <c r="N21" s="81">
        <f t="shared" ref="N21:N23" si="7">SUM(B21:M21)</f>
        <v>375926416</v>
      </c>
      <c r="O21" s="2"/>
      <c r="P21" s="2"/>
      <c r="Q21" s="2"/>
      <c r="R21" s="2"/>
      <c r="S21" s="2"/>
      <c r="T21" s="2"/>
    </row>
    <row r="22" spans="1:20" s="10" customFormat="1" ht="17.25" customHeight="1">
      <c r="A22" s="52" t="s">
        <v>18</v>
      </c>
      <c r="B22" s="52">
        <v>154161</v>
      </c>
      <c r="C22" s="52">
        <f>62829+3968</f>
        <v>66797</v>
      </c>
      <c r="D22" s="52">
        <v>105867</v>
      </c>
      <c r="E22" s="52">
        <v>46084</v>
      </c>
      <c r="F22" s="52">
        <v>175405</v>
      </c>
      <c r="G22" s="62">
        <v>123571</v>
      </c>
      <c r="H22" s="62">
        <v>1672467</v>
      </c>
      <c r="I22" s="62">
        <v>77392</v>
      </c>
      <c r="J22" s="62">
        <v>23230</v>
      </c>
      <c r="K22" s="62">
        <v>53476</v>
      </c>
      <c r="L22" s="62">
        <v>76425</v>
      </c>
      <c r="M22" s="62">
        <v>64523</v>
      </c>
      <c r="N22" s="80">
        <f t="shared" si="7"/>
        <v>2639398</v>
      </c>
      <c r="O22" s="9"/>
      <c r="P22" s="9"/>
      <c r="Q22" s="9"/>
      <c r="R22" s="9"/>
      <c r="S22" s="9"/>
      <c r="T22" s="9"/>
    </row>
    <row r="23" spans="1:20" s="10" customFormat="1" ht="15.75">
      <c r="A23" s="52" t="s">
        <v>19</v>
      </c>
      <c r="B23" s="62">
        <f>SUM(B24:B25)</f>
        <v>2588500</v>
      </c>
      <c r="C23" s="62">
        <f>SUM(C24:C25)</f>
        <v>1077400</v>
      </c>
      <c r="D23" s="62">
        <f t="shared" ref="D23:K23" si="8">SUM(D24:D24)</f>
        <v>4526800</v>
      </c>
      <c r="E23" s="62">
        <f>SUM(E24:E25)</f>
        <v>1116400</v>
      </c>
      <c r="F23" s="62">
        <f>SUM(F24:F25)</f>
        <v>8565900</v>
      </c>
      <c r="G23" s="62">
        <f t="shared" si="8"/>
        <v>1523673</v>
      </c>
      <c r="H23" s="62">
        <f>SUM(H24:H25)</f>
        <v>560200</v>
      </c>
      <c r="I23" s="62">
        <f>SUM(I24:I25)</f>
        <v>128800</v>
      </c>
      <c r="J23" s="62">
        <f>SUM(J24:J25)</f>
        <v>126000</v>
      </c>
      <c r="K23" s="62">
        <f t="shared" si="8"/>
        <v>840200</v>
      </c>
      <c r="L23" s="62">
        <f>SUM(L24:L25)</f>
        <v>125000</v>
      </c>
      <c r="M23" s="62">
        <f>SUM(M24:M25)</f>
        <v>4458400</v>
      </c>
      <c r="N23" s="80">
        <f t="shared" si="7"/>
        <v>25637273</v>
      </c>
      <c r="O23" s="9"/>
      <c r="P23" s="9"/>
      <c r="Q23" s="9"/>
      <c r="R23" s="9"/>
      <c r="S23" s="9"/>
      <c r="T23" s="9"/>
    </row>
    <row r="24" spans="1:20" ht="14.25">
      <c r="A24" s="49" t="s">
        <v>21</v>
      </c>
      <c r="B24" s="49">
        <v>1188500</v>
      </c>
      <c r="C24" s="49">
        <v>1077400</v>
      </c>
      <c r="D24" s="49">
        <v>4526800</v>
      </c>
      <c r="E24" s="49">
        <f>116400</f>
        <v>116400</v>
      </c>
      <c r="F24" s="49">
        <f>2077400+142000+4446500</f>
        <v>6665900</v>
      </c>
      <c r="G24" s="63">
        <v>1523673</v>
      </c>
      <c r="H24" s="63">
        <v>165200</v>
      </c>
      <c r="I24" s="72">
        <f>128800</f>
        <v>128800</v>
      </c>
      <c r="J24" s="64">
        <f>126000</f>
        <v>126000</v>
      </c>
      <c r="K24" s="65">
        <v>840200</v>
      </c>
      <c r="L24" s="65">
        <v>125000</v>
      </c>
      <c r="M24" s="64">
        <v>4458400</v>
      </c>
      <c r="N24" s="81">
        <f t="shared" ref="N24:N38" si="9">SUM(B24:M24)</f>
        <v>20942273</v>
      </c>
      <c r="O24" s="2"/>
      <c r="P24" s="2"/>
      <c r="Q24" s="2"/>
      <c r="R24" s="2"/>
      <c r="S24" s="2"/>
      <c r="T24" s="2"/>
    </row>
    <row r="25" spans="1:20" ht="14.25">
      <c r="A25" s="49" t="s">
        <v>28</v>
      </c>
      <c r="B25" s="49">
        <v>1400000</v>
      </c>
      <c r="C25" s="49"/>
      <c r="D25" s="49"/>
      <c r="E25" s="49">
        <v>1000000</v>
      </c>
      <c r="F25" s="51">
        <v>1900000</v>
      </c>
      <c r="G25" s="63"/>
      <c r="H25" s="72">
        <v>395000</v>
      </c>
      <c r="I25" s="72"/>
      <c r="J25" s="64"/>
      <c r="K25" s="65"/>
      <c r="L25" s="65"/>
      <c r="M25" s="65"/>
      <c r="N25" s="81">
        <f t="shared" si="9"/>
        <v>4695000</v>
      </c>
      <c r="O25" s="2"/>
      <c r="P25" s="2"/>
      <c r="Q25" s="2"/>
      <c r="R25" s="2"/>
      <c r="S25" s="2"/>
      <c r="T25" s="2"/>
    </row>
    <row r="26" spans="1:20" ht="15.75">
      <c r="A26" s="82" t="s">
        <v>174</v>
      </c>
      <c r="B26" s="83">
        <f>B27+B30+B38+B46+B54+B58+B55</f>
        <v>185828941</v>
      </c>
      <c r="C26" s="83">
        <f>C27+C30+C38+C46+C54+C58+C55</f>
        <v>213928562</v>
      </c>
      <c r="D26" s="83">
        <f>D27+D30+D38+D46+D54+D58+D55</f>
        <v>260648961</v>
      </c>
      <c r="E26" s="83">
        <f t="shared" ref="E26:M26" si="10">E27+E30+E38+E46+E54+E58+E55</f>
        <v>497265306</v>
      </c>
      <c r="F26" s="83">
        <f t="shared" si="10"/>
        <v>315404556</v>
      </c>
      <c r="G26" s="83">
        <f t="shared" si="10"/>
        <v>555348969</v>
      </c>
      <c r="H26" s="83">
        <f t="shared" si="10"/>
        <v>361224025</v>
      </c>
      <c r="I26" s="83">
        <f t="shared" si="10"/>
        <v>308053611</v>
      </c>
      <c r="J26" s="83">
        <f t="shared" si="10"/>
        <v>329169962</v>
      </c>
      <c r="K26" s="83">
        <f>K27+K30+K38+K46+K54+K58+K55</f>
        <v>314582852</v>
      </c>
      <c r="L26" s="83">
        <f t="shared" si="10"/>
        <v>366257942</v>
      </c>
      <c r="M26" s="83">
        <f t="shared" si="10"/>
        <v>1292997485</v>
      </c>
      <c r="N26" s="85">
        <f t="shared" si="9"/>
        <v>5000711172</v>
      </c>
      <c r="O26" s="2"/>
      <c r="P26" s="2"/>
      <c r="Q26" s="2"/>
      <c r="R26" s="2"/>
      <c r="S26" s="2"/>
      <c r="T26" s="2"/>
    </row>
    <row r="27" spans="1:20" s="10" customFormat="1" ht="15.75">
      <c r="A27" s="52" t="s">
        <v>175</v>
      </c>
      <c r="B27" s="52">
        <f t="shared" ref="B27:M27" si="11">B28+B29</f>
        <v>29354937</v>
      </c>
      <c r="C27" s="52">
        <f t="shared" si="11"/>
        <v>8488797</v>
      </c>
      <c r="D27" s="52">
        <f t="shared" si="11"/>
        <v>40965278</v>
      </c>
      <c r="E27" s="52">
        <f t="shared" si="11"/>
        <v>18907696</v>
      </c>
      <c r="F27" s="52">
        <f t="shared" si="11"/>
        <v>24020870</v>
      </c>
      <c r="G27" s="52">
        <f t="shared" si="11"/>
        <v>22194640</v>
      </c>
      <c r="H27" s="52">
        <f t="shared" si="11"/>
        <v>20568484</v>
      </c>
      <c r="I27" s="52">
        <f t="shared" si="11"/>
        <v>20540361</v>
      </c>
      <c r="J27" s="52">
        <f t="shared" si="11"/>
        <v>20223371</v>
      </c>
      <c r="K27" s="52">
        <f t="shared" si="11"/>
        <v>22359240</v>
      </c>
      <c r="L27" s="52">
        <f t="shared" si="11"/>
        <v>22643693</v>
      </c>
      <c r="M27" s="52">
        <f t="shared" si="11"/>
        <v>59339047</v>
      </c>
      <c r="N27" s="80">
        <f t="shared" si="9"/>
        <v>309606414</v>
      </c>
      <c r="O27" s="9"/>
      <c r="P27" s="9"/>
      <c r="Q27" s="9"/>
      <c r="R27" s="9"/>
      <c r="S27" s="9"/>
      <c r="T27" s="9"/>
    </row>
    <row r="28" spans="1:20" s="10" customFormat="1" ht="15.75">
      <c r="A28" s="49" t="s">
        <v>6</v>
      </c>
      <c r="B28" s="51">
        <v>15746702</v>
      </c>
      <c r="C28" s="51">
        <v>8488797</v>
      </c>
      <c r="D28" s="51">
        <v>4254349</v>
      </c>
      <c r="E28" s="52"/>
      <c r="F28" s="52"/>
      <c r="G28" s="62"/>
      <c r="H28" s="62"/>
      <c r="I28" s="62"/>
      <c r="J28" s="51"/>
      <c r="K28" s="51">
        <v>3511112</v>
      </c>
      <c r="L28" s="51">
        <v>5166667</v>
      </c>
      <c r="M28" s="51">
        <v>5000000</v>
      </c>
      <c r="N28" s="81">
        <f t="shared" si="9"/>
        <v>42167627</v>
      </c>
      <c r="O28" s="9"/>
      <c r="P28" s="9"/>
      <c r="Q28" s="9"/>
      <c r="R28" s="9"/>
      <c r="S28" s="9"/>
      <c r="T28" s="9"/>
    </row>
    <row r="29" spans="1:20" s="10" customFormat="1" ht="15.75">
      <c r="A29" s="49" t="s">
        <v>29</v>
      </c>
      <c r="B29" s="51">
        <v>13608235</v>
      </c>
      <c r="C29" s="52"/>
      <c r="D29" s="51">
        <v>36710929</v>
      </c>
      <c r="E29" s="51">
        <v>18907696</v>
      </c>
      <c r="F29" s="51">
        <v>24020870</v>
      </c>
      <c r="G29" s="51">
        <v>22194640</v>
      </c>
      <c r="H29" s="51">
        <v>20568484</v>
      </c>
      <c r="I29" s="51">
        <v>20540361</v>
      </c>
      <c r="J29" s="51">
        <v>20223371</v>
      </c>
      <c r="K29" s="51">
        <v>18848128</v>
      </c>
      <c r="L29" s="51">
        <v>17477026</v>
      </c>
      <c r="M29" s="51">
        <v>54339047</v>
      </c>
      <c r="N29" s="81">
        <f t="shared" si="9"/>
        <v>267438787</v>
      </c>
      <c r="O29" s="9"/>
      <c r="P29" s="9"/>
      <c r="Q29" s="9"/>
      <c r="R29" s="9"/>
      <c r="S29" s="9"/>
      <c r="T29" s="9"/>
    </row>
    <row r="30" spans="1:20" s="10" customFormat="1" ht="15.75">
      <c r="A30" s="52" t="s">
        <v>176</v>
      </c>
      <c r="B30" s="73">
        <f t="shared" ref="B30:M30" si="12">SUM(B31:B37)</f>
        <v>16609183</v>
      </c>
      <c r="C30" s="62">
        <f t="shared" si="12"/>
        <v>12511450</v>
      </c>
      <c r="D30" s="62">
        <f t="shared" si="12"/>
        <v>16878994</v>
      </c>
      <c r="E30" s="62">
        <f t="shared" si="12"/>
        <v>38982844</v>
      </c>
      <c r="F30" s="62">
        <f t="shared" si="12"/>
        <v>41869585</v>
      </c>
      <c r="G30" s="62">
        <f t="shared" si="12"/>
        <v>36248458</v>
      </c>
      <c r="H30" s="62">
        <f t="shared" si="12"/>
        <v>33217215</v>
      </c>
      <c r="I30" s="62">
        <f t="shared" si="12"/>
        <v>26585757</v>
      </c>
      <c r="J30" s="62">
        <f t="shared" si="12"/>
        <v>24013394</v>
      </c>
      <c r="K30" s="62">
        <f t="shared" si="12"/>
        <v>26602729</v>
      </c>
      <c r="L30" s="62">
        <f t="shared" si="12"/>
        <v>37443042</v>
      </c>
      <c r="M30" s="62">
        <f t="shared" si="12"/>
        <v>28061273</v>
      </c>
      <c r="N30" s="80">
        <f t="shared" si="9"/>
        <v>339023924</v>
      </c>
      <c r="O30" s="9"/>
      <c r="P30" s="9"/>
      <c r="Q30" s="9"/>
      <c r="R30" s="9"/>
      <c r="S30" s="9"/>
      <c r="T30" s="9"/>
    </row>
    <row r="31" spans="1:20" ht="14.25">
      <c r="A31" s="49" t="s">
        <v>11</v>
      </c>
      <c r="B31" s="51">
        <v>15216383</v>
      </c>
      <c r="C31" s="51">
        <v>9764750</v>
      </c>
      <c r="D31" s="51">
        <v>15954994</v>
      </c>
      <c r="E31" s="49">
        <v>21185159</v>
      </c>
      <c r="F31" s="64">
        <v>20684114</v>
      </c>
      <c r="G31" s="64">
        <v>24492648</v>
      </c>
      <c r="H31" s="64">
        <v>20970895</v>
      </c>
      <c r="I31" s="64">
        <v>21658944</v>
      </c>
      <c r="J31" s="64">
        <v>20320728</v>
      </c>
      <c r="K31" s="64">
        <v>19675589</v>
      </c>
      <c r="L31" s="64">
        <v>22262172</v>
      </c>
      <c r="M31" s="64">
        <f>13504119+8716979</f>
        <v>22221098</v>
      </c>
      <c r="N31" s="81">
        <f t="shared" si="9"/>
        <v>234407474</v>
      </c>
      <c r="O31" s="2"/>
      <c r="P31" s="2"/>
      <c r="Q31" s="2"/>
      <c r="R31" s="2"/>
      <c r="S31" s="2"/>
      <c r="T31" s="2"/>
    </row>
    <row r="32" spans="1:20" ht="14.25">
      <c r="A32" s="49" t="s">
        <v>12</v>
      </c>
      <c r="B32" s="51"/>
      <c r="C32" s="51">
        <v>1205660</v>
      </c>
      <c r="D32" s="51"/>
      <c r="E32" s="49">
        <v>1263465</v>
      </c>
      <c r="F32" s="64"/>
      <c r="G32" s="64">
        <v>1400010</v>
      </c>
      <c r="H32" s="64"/>
      <c r="I32" s="64">
        <v>1827580</v>
      </c>
      <c r="J32" s="64"/>
      <c r="K32" s="64"/>
      <c r="L32" s="64">
        <v>1555490</v>
      </c>
      <c r="M32" s="64">
        <f>738875+797180</f>
        <v>1536055</v>
      </c>
      <c r="N32" s="81">
        <f t="shared" si="9"/>
        <v>8788260</v>
      </c>
      <c r="O32" s="2"/>
      <c r="P32" s="2"/>
      <c r="Q32" s="2"/>
      <c r="R32" s="2"/>
      <c r="S32" s="2"/>
      <c r="T32" s="2"/>
    </row>
    <row r="33" spans="1:20" ht="14.25">
      <c r="A33" s="49" t="s">
        <v>13</v>
      </c>
      <c r="B33" s="51">
        <v>992800</v>
      </c>
      <c r="C33" s="51">
        <v>991040</v>
      </c>
      <c r="D33" s="51">
        <v>924000</v>
      </c>
      <c r="E33" s="49">
        <v>984220</v>
      </c>
      <c r="F33" s="64">
        <v>993460</v>
      </c>
      <c r="G33" s="64">
        <v>992800</v>
      </c>
      <c r="H33" s="64">
        <v>996320</v>
      </c>
      <c r="I33" s="64">
        <v>975640</v>
      </c>
      <c r="J33" s="64">
        <v>987666</v>
      </c>
      <c r="K33" s="64">
        <v>1014140</v>
      </c>
      <c r="L33" s="110">
        <v>990380</v>
      </c>
      <c r="M33" s="64">
        <f>924000+92120</f>
        <v>1016120</v>
      </c>
      <c r="N33" s="81">
        <f t="shared" si="9"/>
        <v>11858586</v>
      </c>
      <c r="O33" s="2"/>
      <c r="P33" s="2"/>
      <c r="Q33" s="2"/>
      <c r="R33" s="2"/>
      <c r="S33" s="2"/>
      <c r="T33" s="2"/>
    </row>
    <row r="34" spans="1:20" ht="14.25">
      <c r="A34" s="49" t="s">
        <v>26</v>
      </c>
      <c r="B34" s="51"/>
      <c r="C34" s="51"/>
      <c r="D34" s="51"/>
      <c r="E34" s="49">
        <v>15350000</v>
      </c>
      <c r="F34" s="64">
        <v>17166000</v>
      </c>
      <c r="G34" s="64">
        <v>180000</v>
      </c>
      <c r="H34" s="64">
        <v>10850000</v>
      </c>
      <c r="I34" s="64">
        <v>70000</v>
      </c>
      <c r="J34" s="64">
        <v>1745000</v>
      </c>
      <c r="K34" s="64">
        <v>3833000</v>
      </c>
      <c r="L34" s="64"/>
      <c r="M34" s="64">
        <f>196000+250000</f>
        <v>446000</v>
      </c>
      <c r="N34" s="81">
        <f t="shared" si="9"/>
        <v>49640000</v>
      </c>
      <c r="O34" s="2"/>
      <c r="P34" s="2"/>
      <c r="Q34" s="2"/>
      <c r="R34" s="2"/>
      <c r="S34" s="2"/>
      <c r="T34" s="2"/>
    </row>
    <row r="35" spans="1:20" ht="14.25">
      <c r="A35" s="49" t="s">
        <v>44</v>
      </c>
      <c r="B35" s="49"/>
      <c r="C35" s="51"/>
      <c r="D35" s="49"/>
      <c r="E35" s="49"/>
      <c r="F35" s="49"/>
      <c r="G35" s="65"/>
      <c r="H35" s="65"/>
      <c r="I35" s="65"/>
      <c r="J35" s="65"/>
      <c r="K35" s="65"/>
      <c r="L35" s="64"/>
      <c r="M35" s="64">
        <v>1188000</v>
      </c>
      <c r="N35" s="81">
        <f t="shared" si="9"/>
        <v>1188000</v>
      </c>
      <c r="O35" s="2"/>
      <c r="P35" s="2"/>
      <c r="Q35" s="2"/>
      <c r="R35" s="2"/>
      <c r="S35" s="2"/>
      <c r="T35" s="2"/>
    </row>
    <row r="36" spans="1:20" ht="14.25">
      <c r="A36" s="49" t="s">
        <v>25</v>
      </c>
      <c r="B36" s="53"/>
      <c r="C36" s="51"/>
      <c r="D36" s="51"/>
      <c r="E36" s="49"/>
      <c r="F36" s="64">
        <v>2268000</v>
      </c>
      <c r="G36" s="64"/>
      <c r="H36" s="64"/>
      <c r="I36" s="64"/>
      <c r="J36" s="64"/>
      <c r="K36" s="64"/>
      <c r="L36" s="64"/>
      <c r="M36" s="64"/>
      <c r="N36" s="81">
        <f t="shared" si="9"/>
        <v>2268000</v>
      </c>
      <c r="O36" s="2"/>
      <c r="P36" s="2"/>
      <c r="Q36" s="2"/>
      <c r="R36" s="2"/>
      <c r="S36" s="2"/>
      <c r="T36" s="2"/>
    </row>
    <row r="37" spans="1:20" ht="14.25">
      <c r="A37" s="49" t="s">
        <v>14</v>
      </c>
      <c r="B37" s="51">
        <v>400000</v>
      </c>
      <c r="C37" s="51">
        <f>550000</f>
        <v>550000</v>
      </c>
      <c r="D37" s="51"/>
      <c r="E37" s="49">
        <v>200000</v>
      </c>
      <c r="F37" s="64">
        <f>758011</f>
        <v>758011</v>
      </c>
      <c r="G37" s="64">
        <v>9183000</v>
      </c>
      <c r="H37" s="64">
        <f>400000</f>
        <v>400000</v>
      </c>
      <c r="I37" s="64">
        <v>2053593</v>
      </c>
      <c r="J37" s="64">
        <v>960000</v>
      </c>
      <c r="K37" s="64">
        <v>2080000</v>
      </c>
      <c r="L37" s="64">
        <v>12635000</v>
      </c>
      <c r="M37" s="64">
        <v>1654000</v>
      </c>
      <c r="N37" s="81">
        <f t="shared" si="9"/>
        <v>30873604</v>
      </c>
      <c r="O37" s="2"/>
      <c r="P37" s="2"/>
      <c r="Q37" s="2"/>
      <c r="R37" s="2"/>
      <c r="S37" s="2"/>
      <c r="T37" s="2"/>
    </row>
    <row r="38" spans="1:20" s="10" customFormat="1" ht="15.75">
      <c r="A38" s="52" t="s">
        <v>177</v>
      </c>
      <c r="B38" s="62">
        <f t="shared" ref="B38:M38" si="13">SUM(B39:B45)</f>
        <v>63095615</v>
      </c>
      <c r="C38" s="62">
        <f t="shared" si="13"/>
        <v>72521095</v>
      </c>
      <c r="D38" s="62">
        <f t="shared" si="13"/>
        <v>73191074</v>
      </c>
      <c r="E38" s="62">
        <f t="shared" si="13"/>
        <v>193827960</v>
      </c>
      <c r="F38" s="62">
        <f t="shared" si="13"/>
        <v>182397962</v>
      </c>
      <c r="G38" s="62">
        <f t="shared" si="13"/>
        <v>173927008</v>
      </c>
      <c r="H38" s="62">
        <f t="shared" si="13"/>
        <v>112769816</v>
      </c>
      <c r="I38" s="62">
        <f t="shared" si="13"/>
        <v>124784818</v>
      </c>
      <c r="J38" s="62">
        <f t="shared" si="13"/>
        <v>98699926</v>
      </c>
      <c r="K38" s="62">
        <f t="shared" si="13"/>
        <v>183688530</v>
      </c>
      <c r="L38" s="62">
        <f t="shared" si="13"/>
        <v>210647006</v>
      </c>
      <c r="M38" s="62">
        <f t="shared" si="13"/>
        <v>409516102</v>
      </c>
      <c r="N38" s="80">
        <f t="shared" si="9"/>
        <v>1899066912</v>
      </c>
      <c r="O38" s="9"/>
      <c r="P38" s="9"/>
      <c r="Q38" s="9"/>
      <c r="R38" s="9"/>
      <c r="S38" s="9"/>
      <c r="T38" s="9"/>
    </row>
    <row r="39" spans="1:20" ht="14.25">
      <c r="A39" s="49" t="s">
        <v>11</v>
      </c>
      <c r="B39" s="51">
        <v>26495068</v>
      </c>
      <c r="C39" s="51">
        <v>37737013</v>
      </c>
      <c r="D39" s="51">
        <v>44027000</v>
      </c>
      <c r="E39" s="49">
        <v>65079031</v>
      </c>
      <c r="F39" s="51">
        <v>58511052</v>
      </c>
      <c r="G39" s="64">
        <v>77857681</v>
      </c>
      <c r="H39" s="64">
        <v>71792947</v>
      </c>
      <c r="I39" s="64">
        <v>67881958</v>
      </c>
      <c r="J39" s="64">
        <v>66626396</v>
      </c>
      <c r="K39" s="64">
        <v>66527907</v>
      </c>
      <c r="L39" s="64">
        <v>71071439</v>
      </c>
      <c r="M39" s="64">
        <v>77474122</v>
      </c>
      <c r="N39" s="81">
        <f t="shared" ref="N39:N57" si="14">SUM(B39:M39)</f>
        <v>731081614</v>
      </c>
      <c r="O39" s="2"/>
      <c r="P39" s="2"/>
      <c r="Q39" s="2"/>
      <c r="R39" s="2"/>
      <c r="S39" s="2"/>
      <c r="T39" s="2"/>
    </row>
    <row r="40" spans="1:20" ht="14.25">
      <c r="A40" s="49" t="s">
        <v>12</v>
      </c>
      <c r="B40" s="51"/>
      <c r="C40" s="51">
        <v>4936490</v>
      </c>
      <c r="D40" s="51"/>
      <c r="E40" s="49">
        <v>5130840</v>
      </c>
      <c r="F40" s="51"/>
      <c r="G40" s="64">
        <v>6180330</v>
      </c>
      <c r="H40" s="64"/>
      <c r="I40" s="64">
        <v>7016035</v>
      </c>
      <c r="J40" s="64"/>
      <c r="K40" s="64">
        <v>6899425</v>
      </c>
      <c r="L40" s="64"/>
      <c r="M40" s="64">
        <f>3964740+3848130</f>
        <v>7812870</v>
      </c>
      <c r="N40" s="81">
        <f t="shared" si="14"/>
        <v>37975990</v>
      </c>
      <c r="O40" s="2"/>
      <c r="P40" s="2"/>
      <c r="Q40" s="2"/>
      <c r="R40" s="2"/>
      <c r="S40" s="2"/>
      <c r="T40" s="2"/>
    </row>
    <row r="41" spans="1:20" ht="14.25">
      <c r="A41" s="49" t="s">
        <v>13</v>
      </c>
      <c r="B41" s="51">
        <v>946594</v>
      </c>
      <c r="C41" s="51">
        <v>913419</v>
      </c>
      <c r="D41" s="51">
        <v>969079</v>
      </c>
      <c r="E41" s="49">
        <v>993458</v>
      </c>
      <c r="F41" s="51">
        <v>985798</v>
      </c>
      <c r="G41" s="64">
        <v>954496</v>
      </c>
      <c r="H41" s="64">
        <v>912979</v>
      </c>
      <c r="I41" s="64">
        <v>896139</v>
      </c>
      <c r="J41" s="64">
        <v>998530</v>
      </c>
      <c r="K41" s="64">
        <v>964058</v>
      </c>
      <c r="L41" s="64">
        <v>991033</v>
      </c>
      <c r="M41" s="64">
        <f>792000+91980+22880</f>
        <v>906860</v>
      </c>
      <c r="N41" s="81">
        <f t="shared" si="14"/>
        <v>11432443</v>
      </c>
      <c r="O41" s="2"/>
      <c r="P41" s="2"/>
      <c r="Q41" s="2"/>
      <c r="R41" s="2"/>
      <c r="S41" s="2"/>
      <c r="T41" s="2"/>
    </row>
    <row r="42" spans="1:20" ht="14.25">
      <c r="A42" s="49" t="s">
        <v>26</v>
      </c>
      <c r="B42" s="51">
        <v>4615000</v>
      </c>
      <c r="C42" s="51">
        <v>1000000</v>
      </c>
      <c r="D42" s="51">
        <v>6115000</v>
      </c>
      <c r="E42" s="49">
        <v>99477000</v>
      </c>
      <c r="F42" s="51">
        <v>43827000</v>
      </c>
      <c r="G42" s="64">
        <v>9416005</v>
      </c>
      <c r="H42" s="64">
        <v>3436000</v>
      </c>
      <c r="I42" s="64">
        <v>440000</v>
      </c>
      <c r="J42" s="64">
        <v>2485000</v>
      </c>
      <c r="K42" s="64">
        <v>79729800</v>
      </c>
      <c r="L42" s="64">
        <v>86006900</v>
      </c>
      <c r="M42" s="64">
        <v>292750299</v>
      </c>
      <c r="N42" s="81">
        <f t="shared" si="14"/>
        <v>629298004</v>
      </c>
      <c r="O42" s="2"/>
      <c r="P42" s="2"/>
      <c r="Q42" s="2"/>
      <c r="R42" s="2"/>
      <c r="S42" s="2"/>
      <c r="T42" s="2"/>
    </row>
    <row r="43" spans="1:20" ht="14.25">
      <c r="A43" s="49" t="s">
        <v>44</v>
      </c>
      <c r="B43" s="49"/>
      <c r="C43" s="51"/>
      <c r="D43" s="49"/>
      <c r="E43" s="49"/>
      <c r="F43" s="49"/>
      <c r="G43" s="65"/>
      <c r="H43" s="65"/>
      <c r="I43" s="65"/>
      <c r="J43" s="65"/>
      <c r="K43" s="65"/>
      <c r="L43" s="64"/>
      <c r="M43" s="64">
        <v>3564000</v>
      </c>
      <c r="N43" s="81">
        <f t="shared" si="14"/>
        <v>3564000</v>
      </c>
      <c r="O43" s="2"/>
      <c r="P43" s="2"/>
      <c r="Q43" s="2"/>
      <c r="R43" s="2"/>
      <c r="S43" s="2"/>
      <c r="T43" s="2"/>
    </row>
    <row r="44" spans="1:20" ht="14.25">
      <c r="A44" s="49" t="s">
        <v>25</v>
      </c>
      <c r="B44" s="51"/>
      <c r="C44" s="51"/>
      <c r="D44" s="51"/>
      <c r="E44" s="49"/>
      <c r="F44" s="51"/>
      <c r="G44" s="64"/>
      <c r="H44" s="64">
        <v>4714000</v>
      </c>
      <c r="I44" s="64"/>
      <c r="J44" s="64"/>
      <c r="K44" s="64"/>
      <c r="L44" s="64"/>
      <c r="M44" s="64"/>
      <c r="N44" s="81">
        <f t="shared" si="14"/>
        <v>4714000</v>
      </c>
      <c r="O44" s="2"/>
      <c r="P44" s="2"/>
      <c r="Q44" s="2"/>
      <c r="R44" s="2"/>
      <c r="S44" s="2"/>
      <c r="T44" s="2"/>
    </row>
    <row r="45" spans="1:20" ht="14.25">
      <c r="A45" s="49" t="s">
        <v>14</v>
      </c>
      <c r="B45" s="51">
        <f>10838953+20200000</f>
        <v>31038953</v>
      </c>
      <c r="C45" s="51">
        <f>5919173+22015000</f>
        <v>27934173</v>
      </c>
      <c r="D45" s="51">
        <f>1879995+20200000</f>
        <v>22079995</v>
      </c>
      <c r="E45" s="49">
        <f>2947631+20200000</f>
        <v>23147631</v>
      </c>
      <c r="F45" s="51">
        <f>58874112+20200000</f>
        <v>79074112</v>
      </c>
      <c r="G45" s="64">
        <f>59318496+20200000</f>
        <v>79518496</v>
      </c>
      <c r="H45" s="64">
        <f>6663890+25250000</f>
        <v>31913890</v>
      </c>
      <c r="I45" s="64">
        <f>23300686+25250000</f>
        <v>48550686</v>
      </c>
      <c r="J45" s="64">
        <f>3340000+25250000</f>
        <v>28590000</v>
      </c>
      <c r="K45" s="64">
        <v>29567340</v>
      </c>
      <c r="L45" s="64">
        <v>52577634</v>
      </c>
      <c r="M45" s="64">
        <f>1200000+27951+300000+25250000+230000</f>
        <v>27007951</v>
      </c>
      <c r="N45" s="81">
        <f t="shared" si="14"/>
        <v>481000861</v>
      </c>
      <c r="O45" s="2"/>
      <c r="P45" s="2"/>
      <c r="Q45" s="2"/>
      <c r="R45" s="2"/>
      <c r="S45" s="2"/>
      <c r="T45" s="2"/>
    </row>
    <row r="46" spans="1:20" s="10" customFormat="1" ht="15.75">
      <c r="A46" s="52" t="s">
        <v>178</v>
      </c>
      <c r="B46" s="62">
        <f t="shared" ref="B46:M46" si="15">SUM(B47:B53)</f>
        <v>9360796</v>
      </c>
      <c r="C46" s="62">
        <f t="shared" si="15"/>
        <v>55598741</v>
      </c>
      <c r="D46" s="62">
        <f t="shared" si="15"/>
        <v>2602000</v>
      </c>
      <c r="E46" s="62">
        <f t="shared" si="15"/>
        <v>37913446</v>
      </c>
      <c r="F46" s="62">
        <f t="shared" si="15"/>
        <v>15706304</v>
      </c>
      <c r="G46" s="62">
        <f t="shared" si="15"/>
        <v>256734238</v>
      </c>
      <c r="H46" s="62">
        <f t="shared" si="15"/>
        <v>115562631</v>
      </c>
      <c r="I46" s="62">
        <f t="shared" si="15"/>
        <v>61260442</v>
      </c>
      <c r="J46" s="62">
        <f t="shared" si="15"/>
        <v>122058946</v>
      </c>
      <c r="K46" s="62">
        <f t="shared" si="15"/>
        <v>37208596</v>
      </c>
      <c r="L46" s="62">
        <f t="shared" si="15"/>
        <v>38010499</v>
      </c>
      <c r="M46" s="62">
        <f t="shared" si="15"/>
        <v>58958246</v>
      </c>
      <c r="N46" s="80">
        <f>SUM(B46:M46)</f>
        <v>810974885</v>
      </c>
      <c r="O46" s="9"/>
      <c r="P46" s="9"/>
      <c r="Q46" s="9"/>
      <c r="R46" s="9"/>
      <c r="S46" s="9"/>
      <c r="T46" s="9"/>
    </row>
    <row r="47" spans="1:20" ht="14.25">
      <c r="A47" s="49" t="s">
        <v>27</v>
      </c>
      <c r="B47" s="51"/>
      <c r="C47" s="51"/>
      <c r="D47" s="51"/>
      <c r="E47" s="51">
        <v>9600000</v>
      </c>
      <c r="F47" s="51">
        <v>3935000</v>
      </c>
      <c r="G47" s="61">
        <v>11575000</v>
      </c>
      <c r="H47" s="61">
        <v>31527000</v>
      </c>
      <c r="I47" s="72">
        <v>12979000</v>
      </c>
      <c r="J47" s="64">
        <v>29821000</v>
      </c>
      <c r="K47" s="64">
        <v>23793000</v>
      </c>
      <c r="L47" s="64">
        <v>8646000</v>
      </c>
      <c r="M47" s="64">
        <f>10000000+4740000+6870000+17600000+3770000</f>
        <v>42980000</v>
      </c>
      <c r="N47" s="81">
        <f>SUM(B47:M47)</f>
        <v>174856000</v>
      </c>
      <c r="O47" s="2"/>
      <c r="P47" s="2"/>
      <c r="Q47" s="2"/>
      <c r="R47" s="2"/>
      <c r="S47" s="2"/>
      <c r="T47" s="2"/>
    </row>
    <row r="48" spans="1:20" ht="14.25">
      <c r="A48" s="49" t="s">
        <v>15</v>
      </c>
      <c r="B48" s="51">
        <v>27500</v>
      </c>
      <c r="C48" s="51">
        <v>60500</v>
      </c>
      <c r="D48" s="51"/>
      <c r="E48" s="51">
        <v>77100</v>
      </c>
      <c r="F48" s="51">
        <v>60150</v>
      </c>
      <c r="G48" s="61">
        <f>200432+132000</f>
        <v>332432</v>
      </c>
      <c r="H48" s="61">
        <v>125772</v>
      </c>
      <c r="I48" s="72"/>
      <c r="J48" s="64">
        <v>132000</v>
      </c>
      <c r="K48" s="64">
        <v>109250</v>
      </c>
      <c r="L48" s="64">
        <v>147694</v>
      </c>
      <c r="M48" s="64">
        <v>325469</v>
      </c>
      <c r="N48" s="81">
        <f t="shared" ref="N48:N53" si="16">SUM(B48:M48)</f>
        <v>1397867</v>
      </c>
      <c r="O48" s="2"/>
      <c r="P48" s="2"/>
      <c r="Q48" s="2"/>
      <c r="R48" s="2"/>
      <c r="S48" s="2"/>
      <c r="T48" s="2"/>
    </row>
    <row r="49" spans="1:20" ht="14.25">
      <c r="A49" s="49" t="s">
        <v>16</v>
      </c>
      <c r="B49" s="51"/>
      <c r="C49" s="51">
        <v>24213241</v>
      </c>
      <c r="D49" s="51"/>
      <c r="E49" s="51">
        <v>23941346</v>
      </c>
      <c r="F49" s="61"/>
      <c r="G49" s="61">
        <f>389423+23823077</f>
        <v>24212500</v>
      </c>
      <c r="H49" s="61">
        <v>250096</v>
      </c>
      <c r="I49" s="72">
        <v>27472404</v>
      </c>
      <c r="J49" s="64"/>
      <c r="K49" s="64">
        <v>12356346</v>
      </c>
      <c r="L49" s="64">
        <v>25717404</v>
      </c>
      <c r="M49" s="64">
        <v>12983750</v>
      </c>
      <c r="N49" s="81">
        <f t="shared" si="16"/>
        <v>151147087</v>
      </c>
      <c r="O49" s="2"/>
      <c r="P49" s="2"/>
      <c r="Q49" s="2"/>
      <c r="R49" s="2"/>
      <c r="S49" s="2"/>
      <c r="T49" s="2"/>
    </row>
    <row r="50" spans="1:20" ht="14.25">
      <c r="A50" s="49" t="s">
        <v>17</v>
      </c>
      <c r="B50" s="51"/>
      <c r="C50" s="51"/>
      <c r="D50" s="49"/>
      <c r="E50" s="51"/>
      <c r="F50" s="51"/>
      <c r="G50" s="61"/>
      <c r="H50" s="61"/>
      <c r="I50" s="72"/>
      <c r="J50" s="64"/>
      <c r="K50" s="64"/>
      <c r="L50" s="64"/>
      <c r="M50" s="64"/>
      <c r="N50" s="81">
        <f t="shared" si="16"/>
        <v>0</v>
      </c>
      <c r="O50" s="2"/>
      <c r="P50" s="2"/>
      <c r="Q50" s="2"/>
      <c r="R50" s="2"/>
      <c r="S50" s="2"/>
      <c r="T50" s="2"/>
    </row>
    <row r="51" spans="1:20" ht="14.25">
      <c r="A51" s="49" t="s">
        <v>45</v>
      </c>
      <c r="B51" s="51">
        <v>2000000</v>
      </c>
      <c r="C51" s="51"/>
      <c r="D51" s="49"/>
      <c r="E51" s="51"/>
      <c r="F51" s="51"/>
      <c r="G51" s="61">
        <f>170000000+44734306</f>
        <v>214734306</v>
      </c>
      <c r="H51" s="61">
        <v>79799763</v>
      </c>
      <c r="I51" s="72"/>
      <c r="J51" s="64">
        <v>90268674</v>
      </c>
      <c r="K51" s="64"/>
      <c r="L51" s="64">
        <v>2269401</v>
      </c>
      <c r="M51" s="64"/>
      <c r="N51" s="81">
        <f t="shared" si="16"/>
        <v>389072144</v>
      </c>
      <c r="O51" s="2"/>
      <c r="P51" s="2"/>
      <c r="Q51" s="2"/>
      <c r="R51" s="2"/>
      <c r="S51" s="2"/>
      <c r="T51" s="2"/>
    </row>
    <row r="52" spans="1:20" ht="14.25">
      <c r="A52" s="49" t="s">
        <v>26</v>
      </c>
      <c r="B52" s="51"/>
      <c r="C52" s="51"/>
      <c r="D52" s="49"/>
      <c r="E52" s="51"/>
      <c r="F52" s="51"/>
      <c r="G52" s="61"/>
      <c r="H52" s="61"/>
      <c r="I52" s="72"/>
      <c r="J52" s="64"/>
      <c r="K52" s="64"/>
      <c r="L52" s="64"/>
      <c r="M52" s="64"/>
      <c r="N52" s="81">
        <f t="shared" si="16"/>
        <v>0</v>
      </c>
      <c r="O52" s="2"/>
      <c r="P52" s="2"/>
      <c r="Q52" s="2"/>
      <c r="R52" s="2"/>
      <c r="S52" s="2"/>
      <c r="T52" s="2"/>
    </row>
    <row r="53" spans="1:20" ht="14.25">
      <c r="A53" s="49" t="s">
        <v>14</v>
      </c>
      <c r="B53" s="51">
        <v>7333296</v>
      </c>
      <c r="C53" s="51">
        <v>31325000</v>
      </c>
      <c r="D53" s="49">
        <f>2602000</f>
        <v>2602000</v>
      </c>
      <c r="E53" s="49">
        <v>4295000</v>
      </c>
      <c r="F53" s="51">
        <f>11711154</f>
        <v>11711154</v>
      </c>
      <c r="G53" s="61">
        <f>2880000+3000000</f>
        <v>5880000</v>
      </c>
      <c r="H53" s="61">
        <f>3860000</f>
        <v>3860000</v>
      </c>
      <c r="I53" s="72">
        <f>20809038</f>
        <v>20809038</v>
      </c>
      <c r="J53" s="64">
        <v>1837272</v>
      </c>
      <c r="K53" s="64">
        <f>950000</f>
        <v>950000</v>
      </c>
      <c r="L53" s="64">
        <f>1230000</f>
        <v>1230000</v>
      </c>
      <c r="M53" s="64">
        <v>2669027</v>
      </c>
      <c r="N53" s="81">
        <f t="shared" si="16"/>
        <v>94501787</v>
      </c>
      <c r="O53" s="2"/>
      <c r="P53" s="2"/>
      <c r="Q53" s="2"/>
      <c r="R53" s="2"/>
      <c r="S53" s="2"/>
      <c r="T53" s="2"/>
    </row>
    <row r="54" spans="1:20" s="10" customFormat="1" ht="15.75">
      <c r="A54" s="52" t="s">
        <v>179</v>
      </c>
      <c r="B54" s="54">
        <v>47592846</v>
      </c>
      <c r="C54" s="54">
        <v>60811833</v>
      </c>
      <c r="D54" s="54">
        <v>124983784</v>
      </c>
      <c r="E54" s="52">
        <v>62225450</v>
      </c>
      <c r="F54" s="54">
        <v>50358226</v>
      </c>
      <c r="G54" s="66">
        <v>52574600</v>
      </c>
      <c r="H54" s="62">
        <v>51600450</v>
      </c>
      <c r="I54" s="73">
        <v>51438912</v>
      </c>
      <c r="J54" s="73">
        <v>51123527</v>
      </c>
      <c r="K54" s="73">
        <v>35637653</v>
      </c>
      <c r="L54" s="62">
        <v>52112950</v>
      </c>
      <c r="M54" s="62">
        <v>37122838</v>
      </c>
      <c r="N54" s="80">
        <f t="shared" ref="N54:N62" si="17">SUM(B54:M54)</f>
        <v>677583069</v>
      </c>
      <c r="O54" s="9"/>
      <c r="P54" s="9"/>
      <c r="Q54" s="9"/>
      <c r="R54" s="9"/>
      <c r="S54" s="9"/>
      <c r="T54" s="9"/>
    </row>
    <row r="55" spans="1:20" s="10" customFormat="1" ht="15.75">
      <c r="A55" s="52" t="s">
        <v>180</v>
      </c>
      <c r="B55" s="54">
        <f t="shared" ref="B55:M55" si="18">SUM(B56:B57)</f>
        <v>7823108</v>
      </c>
      <c r="C55" s="52">
        <f t="shared" si="18"/>
        <v>0</v>
      </c>
      <c r="D55" s="52">
        <f t="shared" si="18"/>
        <v>1430000</v>
      </c>
      <c r="E55" s="52">
        <f t="shared" si="18"/>
        <v>83075000</v>
      </c>
      <c r="F55" s="52">
        <f t="shared" si="18"/>
        <v>340000</v>
      </c>
      <c r="G55" s="52">
        <f t="shared" si="18"/>
        <v>12996500</v>
      </c>
      <c r="H55" s="52">
        <f t="shared" si="18"/>
        <v>0</v>
      </c>
      <c r="I55" s="52">
        <f t="shared" si="18"/>
        <v>0</v>
      </c>
      <c r="J55" s="52">
        <f t="shared" si="18"/>
        <v>1980000</v>
      </c>
      <c r="K55" s="52">
        <f t="shared" si="18"/>
        <v>0</v>
      </c>
      <c r="L55" s="52">
        <f t="shared" si="18"/>
        <v>0</v>
      </c>
      <c r="M55" s="52">
        <f t="shared" si="18"/>
        <v>679835945</v>
      </c>
      <c r="N55" s="80">
        <f t="shared" si="17"/>
        <v>787480553</v>
      </c>
      <c r="O55" s="9"/>
      <c r="P55" s="9"/>
      <c r="Q55" s="9"/>
      <c r="R55" s="9"/>
      <c r="S55" s="9"/>
      <c r="T55" s="9"/>
    </row>
    <row r="56" spans="1:20" ht="14.25">
      <c r="A56" s="49" t="s">
        <v>36</v>
      </c>
      <c r="B56" s="51"/>
      <c r="C56" s="51"/>
      <c r="D56" s="49">
        <v>1430000</v>
      </c>
      <c r="E56" s="49"/>
      <c r="F56" s="51"/>
      <c r="G56" s="61">
        <v>12996500</v>
      </c>
      <c r="H56" s="61"/>
      <c r="I56" s="113"/>
      <c r="J56" s="65">
        <v>1980000</v>
      </c>
      <c r="K56" s="65"/>
      <c r="L56" s="65"/>
      <c r="M56" s="65"/>
      <c r="N56" s="81">
        <f t="shared" si="14"/>
        <v>16406500</v>
      </c>
      <c r="O56" s="2"/>
      <c r="P56" s="2"/>
      <c r="Q56" s="2"/>
      <c r="R56" s="2"/>
      <c r="S56" s="2"/>
      <c r="T56" s="2"/>
    </row>
    <row r="57" spans="1:20" ht="14.25">
      <c r="A57" s="51" t="s">
        <v>64</v>
      </c>
      <c r="B57" s="51">
        <v>7823108</v>
      </c>
      <c r="C57" s="51"/>
      <c r="D57" s="49"/>
      <c r="E57" s="49">
        <v>83075000</v>
      </c>
      <c r="F57" s="51">
        <v>340000</v>
      </c>
      <c r="G57" s="61"/>
      <c r="H57" s="61"/>
      <c r="I57" s="113"/>
      <c r="J57" s="65"/>
      <c r="K57" s="65"/>
      <c r="L57" s="65"/>
      <c r="M57" s="65">
        <v>679835945</v>
      </c>
      <c r="N57" s="81">
        <f t="shared" si="14"/>
        <v>771074053</v>
      </c>
      <c r="O57" s="2"/>
      <c r="P57" s="2"/>
      <c r="Q57" s="2"/>
      <c r="R57" s="2"/>
      <c r="S57" s="2"/>
      <c r="T57" s="2"/>
    </row>
    <row r="58" spans="1:20" s="10" customFormat="1" ht="15.75">
      <c r="A58" s="54" t="s">
        <v>181</v>
      </c>
      <c r="B58" s="73">
        <f>SUM(B59:B62)</f>
        <v>11992456</v>
      </c>
      <c r="C58" s="73">
        <f>SUM(C59:C62)</f>
        <v>3996646</v>
      </c>
      <c r="D58" s="62">
        <f>SUM(D59:D61)</f>
        <v>597831</v>
      </c>
      <c r="E58" s="62">
        <f>SUM(E59:E61)</f>
        <v>62332910</v>
      </c>
      <c r="F58" s="62">
        <f>SUM(F59:F62)</f>
        <v>711609</v>
      </c>
      <c r="G58" s="62">
        <f>SUM(G59:G61)</f>
        <v>673525</v>
      </c>
      <c r="H58" s="62">
        <f>SUM(H59:H62)</f>
        <v>27505429</v>
      </c>
      <c r="I58" s="62">
        <f>SUM(I59:I62)</f>
        <v>23443321</v>
      </c>
      <c r="J58" s="62">
        <f>SUM(J59:J61)</f>
        <v>11070798</v>
      </c>
      <c r="K58" s="62">
        <f>SUM(K59:K61)</f>
        <v>9086104</v>
      </c>
      <c r="L58" s="62">
        <f>SUM(L59:L61)</f>
        <v>5400752</v>
      </c>
      <c r="M58" s="62">
        <f>SUM(M59:M62)</f>
        <v>20164034</v>
      </c>
      <c r="N58" s="80">
        <f t="shared" si="17"/>
        <v>176975415</v>
      </c>
      <c r="O58" s="9"/>
      <c r="P58" s="9"/>
      <c r="Q58" s="9"/>
      <c r="R58" s="9"/>
      <c r="S58" s="9"/>
      <c r="T58" s="9"/>
    </row>
    <row r="59" spans="1:20" ht="14.25">
      <c r="A59" s="51" t="s">
        <v>22</v>
      </c>
      <c r="B59" s="51">
        <v>410051</v>
      </c>
      <c r="C59" s="51">
        <v>496646</v>
      </c>
      <c r="D59" s="51">
        <v>597831</v>
      </c>
      <c r="E59" s="49">
        <v>62332910</v>
      </c>
      <c r="F59" s="61">
        <v>711609</v>
      </c>
      <c r="G59" s="61">
        <v>673525</v>
      </c>
      <c r="H59" s="64">
        <v>27505429</v>
      </c>
      <c r="I59" s="64">
        <v>15938321</v>
      </c>
      <c r="J59" s="64">
        <v>305798</v>
      </c>
      <c r="K59" s="64">
        <v>504104</v>
      </c>
      <c r="L59" s="64">
        <v>5400752</v>
      </c>
      <c r="M59" s="64">
        <v>18864034</v>
      </c>
      <c r="N59" s="81">
        <f t="shared" si="17"/>
        <v>133741010</v>
      </c>
      <c r="O59" s="2"/>
      <c r="P59" s="2"/>
      <c r="Q59" s="2"/>
      <c r="R59" s="2"/>
      <c r="S59" s="2"/>
      <c r="T59" s="2"/>
    </row>
    <row r="60" spans="1:20" ht="14.25">
      <c r="A60" s="51" t="s">
        <v>23</v>
      </c>
      <c r="B60" s="51">
        <v>11582405</v>
      </c>
      <c r="C60" s="51">
        <v>3500000</v>
      </c>
      <c r="D60" s="49"/>
      <c r="E60" s="51"/>
      <c r="F60" s="51"/>
      <c r="G60" s="63"/>
      <c r="H60" s="64"/>
      <c r="I60" s="64">
        <v>7505000</v>
      </c>
      <c r="J60" s="64">
        <v>10765000</v>
      </c>
      <c r="K60" s="64">
        <v>8180000</v>
      </c>
      <c r="L60" s="65"/>
      <c r="M60" s="64">
        <v>1300000</v>
      </c>
      <c r="N60" s="81">
        <f t="shared" si="17"/>
        <v>42832405</v>
      </c>
      <c r="O60" s="2"/>
      <c r="P60" s="2"/>
      <c r="Q60" s="2"/>
      <c r="R60" s="2"/>
      <c r="S60" s="2"/>
      <c r="T60" s="2"/>
    </row>
    <row r="61" spans="1:20" ht="14.25">
      <c r="A61" s="49" t="s">
        <v>24</v>
      </c>
      <c r="B61" s="49"/>
      <c r="C61" s="49"/>
      <c r="D61" s="49"/>
      <c r="E61" s="49"/>
      <c r="F61" s="49"/>
      <c r="G61" s="63"/>
      <c r="H61" s="64"/>
      <c r="I61" s="64"/>
      <c r="J61" s="64"/>
      <c r="K61" s="65">
        <v>402000</v>
      </c>
      <c r="L61" s="65"/>
      <c r="M61" s="65"/>
      <c r="N61" s="81">
        <f t="shared" si="17"/>
        <v>402000</v>
      </c>
      <c r="O61" s="2"/>
      <c r="P61" s="2"/>
      <c r="Q61" s="2"/>
      <c r="R61" s="2"/>
      <c r="S61" s="2"/>
      <c r="T61" s="2"/>
    </row>
    <row r="62" spans="1:20" ht="14.25">
      <c r="A62" s="49" t="s">
        <v>43</v>
      </c>
      <c r="B62" s="49"/>
      <c r="C62" s="49"/>
      <c r="D62" s="49"/>
      <c r="E62" s="49"/>
      <c r="F62" s="49"/>
      <c r="G62" s="63"/>
      <c r="H62" s="65"/>
      <c r="I62" s="65"/>
      <c r="J62" s="65"/>
      <c r="K62" s="65"/>
      <c r="L62" s="65"/>
      <c r="M62" s="65"/>
      <c r="N62" s="81">
        <f t="shared" si="17"/>
        <v>0</v>
      </c>
      <c r="O62" s="2"/>
      <c r="P62" s="2"/>
      <c r="Q62" s="2"/>
      <c r="R62" s="2"/>
      <c r="S62" s="2"/>
      <c r="T62" s="2"/>
    </row>
    <row r="63" spans="1:20" s="88" customFormat="1" ht="15.75">
      <c r="A63" s="103" t="s">
        <v>136</v>
      </c>
      <c r="B63" s="104">
        <f t="shared" ref="B63:M63" si="19">B6-B26</f>
        <v>560578032</v>
      </c>
      <c r="C63" s="104">
        <f t="shared" si="19"/>
        <v>335401583</v>
      </c>
      <c r="D63" s="104">
        <f t="shared" si="19"/>
        <v>305507521</v>
      </c>
      <c r="E63" s="104">
        <f t="shared" si="19"/>
        <v>228012946</v>
      </c>
      <c r="F63" s="104">
        <f t="shared" si="19"/>
        <v>684181681</v>
      </c>
      <c r="G63" s="104">
        <f t="shared" si="19"/>
        <v>105531522</v>
      </c>
      <c r="H63" s="104">
        <f t="shared" si="19"/>
        <v>507000948</v>
      </c>
      <c r="I63" s="104">
        <f t="shared" si="19"/>
        <v>403481587</v>
      </c>
      <c r="J63" s="104">
        <f t="shared" si="19"/>
        <v>385433544</v>
      </c>
      <c r="K63" s="104">
        <f t="shared" si="19"/>
        <v>613951788</v>
      </c>
      <c r="L63" s="104">
        <f t="shared" si="19"/>
        <v>472365906</v>
      </c>
      <c r="M63" s="104">
        <f t="shared" si="19"/>
        <v>-295466828</v>
      </c>
      <c r="N63" s="104">
        <f>SUM(B63:M63)</f>
        <v>4305980230</v>
      </c>
      <c r="O63" s="8"/>
      <c r="P63" s="8"/>
      <c r="Q63" s="8"/>
      <c r="R63" s="8"/>
      <c r="S63" s="8"/>
      <c r="T63" s="8"/>
    </row>
    <row r="64" spans="1:20" s="102" customFormat="1" ht="15.75">
      <c r="A64" s="106"/>
      <c r="B64" s="107"/>
      <c r="C64" s="107"/>
      <c r="D64" s="107"/>
      <c r="E64" s="107"/>
      <c r="F64" s="106"/>
      <c r="J64" s="107"/>
      <c r="K64" s="107"/>
      <c r="L64" s="107"/>
      <c r="M64" s="107"/>
    </row>
    <row r="65" spans="14:14" s="102" customFormat="1"/>
    <row r="66" spans="14:14" s="102" customFormat="1"/>
    <row r="67" spans="14:14" s="102" customFormat="1"/>
    <row r="68" spans="14:14" s="102" customFormat="1"/>
    <row r="69" spans="14:14" s="102" customFormat="1"/>
    <row r="70" spans="14:14">
      <c r="N70" s="102"/>
    </row>
    <row r="71" spans="14:14">
      <c r="N71" s="102"/>
    </row>
    <row r="72" spans="14:14">
      <c r="N72" s="102"/>
    </row>
    <row r="73" spans="14:14">
      <c r="N73" s="102"/>
    </row>
    <row r="74" spans="14:14">
      <c r="N74" s="102"/>
    </row>
    <row r="75" spans="14:14">
      <c r="N75" s="102"/>
    </row>
    <row r="76" spans="14:14">
      <c r="N76" s="102"/>
    </row>
    <row r="77" spans="14:14">
      <c r="N77" s="102"/>
    </row>
    <row r="78" spans="14:14">
      <c r="N78" s="102"/>
    </row>
    <row r="79" spans="14:14">
      <c r="N79" s="102"/>
    </row>
    <row r="80" spans="14:14">
      <c r="N80" s="102"/>
    </row>
    <row r="81" spans="14:14">
      <c r="N81" s="102"/>
    </row>
    <row r="82" spans="14:14">
      <c r="N82" s="102"/>
    </row>
    <row r="83" spans="14:14">
      <c r="N83" s="102"/>
    </row>
    <row r="84" spans="14:14">
      <c r="N84" s="102"/>
    </row>
    <row r="85" spans="14:14">
      <c r="N85" s="102"/>
    </row>
    <row r="86" spans="14:14">
      <c r="N86" s="102"/>
    </row>
    <row r="87" spans="14:14">
      <c r="N87" s="102"/>
    </row>
    <row r="88" spans="14:14">
      <c r="N88" s="102"/>
    </row>
    <row r="89" spans="14:14">
      <c r="N89" s="102"/>
    </row>
    <row r="90" spans="14:14">
      <c r="N90" s="102"/>
    </row>
    <row r="91" spans="14:14">
      <c r="N91" s="102"/>
    </row>
  </sheetData>
  <mergeCells count="1">
    <mergeCell ref="A2:N2"/>
  </mergeCells>
  <pageMargins left="0.2" right="0.16" top="0.31" bottom="0.17" header="0.3" footer="0.16"/>
  <pageSetup scale="75" orientation="landscape" verticalDpi="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FFFF"/>
  </sheetPr>
  <dimension ref="A1:E70"/>
  <sheetViews>
    <sheetView topLeftCell="A28" workbookViewId="0">
      <selection activeCell="D52" sqref="D52"/>
    </sheetView>
  </sheetViews>
  <sheetFormatPr defaultRowHeight="12.75"/>
  <cols>
    <col min="1" max="1" width="40.42578125" style="7" customWidth="1"/>
    <col min="2" max="2" width="17.85546875" style="7" customWidth="1"/>
    <col min="3" max="3" width="39.5703125" style="14" customWidth="1"/>
    <col min="4" max="4" width="21.140625" style="7" customWidth="1"/>
    <col min="5" max="16384" width="9.140625" style="7"/>
  </cols>
  <sheetData>
    <row r="1" spans="1:5" ht="31.5" customHeight="1">
      <c r="A1" s="122" t="s">
        <v>103</v>
      </c>
      <c r="B1" s="122"/>
      <c r="C1" s="122"/>
      <c r="D1" s="122"/>
      <c r="E1" s="2"/>
    </row>
    <row r="2" spans="1:5" ht="13.5" customHeight="1">
      <c r="A2" s="60"/>
      <c r="B2" s="60"/>
      <c r="C2" s="60"/>
      <c r="D2" s="60"/>
      <c r="E2" s="2"/>
    </row>
    <row r="3" spans="1:5" ht="15.75">
      <c r="A3" s="11" t="s">
        <v>7</v>
      </c>
      <c r="B3" s="11" t="s">
        <v>65</v>
      </c>
      <c r="C3" s="11" t="s">
        <v>7</v>
      </c>
      <c r="D3" s="11" t="s">
        <v>65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20</v>
      </c>
      <c r="B5" s="25">
        <f>B6+B19+B20</f>
        <v>660880491</v>
      </c>
      <c r="C5" s="24" t="s">
        <v>69</v>
      </c>
      <c r="D5" s="25">
        <f>D6+D9+D17+D25+D33+D34+D37</f>
        <v>555348969</v>
      </c>
      <c r="E5" s="2"/>
    </row>
    <row r="6" spans="1:5" s="10" customFormat="1" ht="15.75">
      <c r="A6" s="19" t="s">
        <v>10</v>
      </c>
      <c r="B6" s="26">
        <f>B7+B12+B16</f>
        <v>659233247</v>
      </c>
      <c r="C6" s="19" t="s">
        <v>2</v>
      </c>
      <c r="D6" s="19">
        <f>SUM(D7:D8)</f>
        <v>22194640</v>
      </c>
      <c r="E6" s="9"/>
    </row>
    <row r="7" spans="1:5" s="16" customFormat="1" ht="15.75">
      <c r="A7" s="27" t="s">
        <v>8</v>
      </c>
      <c r="B7" s="27">
        <f>SUM(B8:B11)</f>
        <v>198376748</v>
      </c>
      <c r="C7" s="17" t="s">
        <v>6</v>
      </c>
      <c r="D7" s="62"/>
      <c r="E7" s="15"/>
    </row>
    <row r="8" spans="1:5" ht="14.25">
      <c r="A8" s="17" t="s">
        <v>48</v>
      </c>
      <c r="B8" s="49">
        <v>171277529</v>
      </c>
      <c r="C8" s="17" t="s">
        <v>29</v>
      </c>
      <c r="D8" s="51">
        <v>22194640</v>
      </c>
      <c r="E8" s="2"/>
    </row>
    <row r="9" spans="1:5" ht="15.75">
      <c r="A9" s="17" t="s">
        <v>49</v>
      </c>
      <c r="B9" s="49">
        <v>24719219</v>
      </c>
      <c r="C9" s="19" t="s">
        <v>66</v>
      </c>
      <c r="D9" s="28">
        <f>SUM(D10:D16)</f>
        <v>36248458</v>
      </c>
      <c r="E9" s="2"/>
    </row>
    <row r="10" spans="1:5" ht="14.25">
      <c r="A10" s="17" t="s">
        <v>50</v>
      </c>
      <c r="B10" s="49">
        <v>880000</v>
      </c>
      <c r="C10" s="17" t="s">
        <v>11</v>
      </c>
      <c r="D10" s="64">
        <v>24492648</v>
      </c>
      <c r="E10" s="2"/>
    </row>
    <row r="11" spans="1:5" ht="14.25">
      <c r="A11" s="49" t="s">
        <v>51</v>
      </c>
      <c r="B11" s="49">
        <v>1500000</v>
      </c>
      <c r="C11" s="17" t="s">
        <v>12</v>
      </c>
      <c r="D11" s="64">
        <v>1400010</v>
      </c>
      <c r="E11" s="2"/>
    </row>
    <row r="12" spans="1:5" s="16" customFormat="1" ht="15.75">
      <c r="A12" s="27" t="s">
        <v>9</v>
      </c>
      <c r="B12" s="27">
        <f t="shared" ref="B12" si="0">SUM(B13:B15)</f>
        <v>460856499</v>
      </c>
      <c r="C12" s="17" t="s">
        <v>13</v>
      </c>
      <c r="D12" s="64">
        <v>992800</v>
      </c>
      <c r="E12" s="15"/>
    </row>
    <row r="13" spans="1:5" ht="14.25">
      <c r="A13" s="17" t="s">
        <v>48</v>
      </c>
      <c r="B13" s="17">
        <v>359154422</v>
      </c>
      <c r="C13" s="17" t="s">
        <v>26</v>
      </c>
      <c r="D13" s="64">
        <v>180000</v>
      </c>
      <c r="E13" s="2"/>
    </row>
    <row r="14" spans="1:5" ht="14.25">
      <c r="A14" s="17" t="s">
        <v>49</v>
      </c>
      <c r="B14" s="17">
        <v>90330077</v>
      </c>
      <c r="C14" s="17" t="s">
        <v>44</v>
      </c>
      <c r="D14" s="65"/>
      <c r="E14" s="2"/>
    </row>
    <row r="15" spans="1:5" ht="14.25">
      <c r="A15" s="17" t="s">
        <v>51</v>
      </c>
      <c r="B15" s="17">
        <v>11372000</v>
      </c>
      <c r="C15" s="17" t="s">
        <v>25</v>
      </c>
      <c r="D15" s="64"/>
      <c r="E15" s="2"/>
    </row>
    <row r="16" spans="1:5" ht="15.75">
      <c r="A16" s="27" t="s">
        <v>61</v>
      </c>
      <c r="B16" s="27">
        <f t="shared" ref="B16" si="1">SUM(B17:B18)</f>
        <v>0</v>
      </c>
      <c r="C16" s="17" t="s">
        <v>14</v>
      </c>
      <c r="D16" s="64">
        <v>9183000</v>
      </c>
      <c r="E16" s="2"/>
    </row>
    <row r="17" spans="1:5" ht="15.75">
      <c r="A17" s="17" t="s">
        <v>62</v>
      </c>
      <c r="B17" s="49"/>
      <c r="C17" s="19" t="s">
        <v>67</v>
      </c>
      <c r="D17" s="26">
        <f t="shared" ref="D17" si="2">SUM(D18:D24)</f>
        <v>173927008</v>
      </c>
      <c r="E17" s="2"/>
    </row>
    <row r="18" spans="1:5" ht="14.25">
      <c r="A18" s="17" t="s">
        <v>63</v>
      </c>
      <c r="B18" s="17"/>
      <c r="C18" s="17" t="s">
        <v>11</v>
      </c>
      <c r="D18" s="64">
        <v>77857681</v>
      </c>
      <c r="E18" s="2"/>
    </row>
    <row r="19" spans="1:5" s="10" customFormat="1" ht="17.25" customHeight="1">
      <c r="A19" s="19" t="s">
        <v>18</v>
      </c>
      <c r="B19" s="62">
        <v>123571</v>
      </c>
      <c r="C19" s="17" t="s">
        <v>12</v>
      </c>
      <c r="D19" s="64">
        <v>6180330</v>
      </c>
      <c r="E19" s="9"/>
    </row>
    <row r="20" spans="1:5" s="10" customFormat="1" ht="15.75">
      <c r="A20" s="19" t="s">
        <v>19</v>
      </c>
      <c r="B20" s="26">
        <f>SUM(B21:B22)</f>
        <v>1523673</v>
      </c>
      <c r="C20" s="17" t="s">
        <v>13</v>
      </c>
      <c r="D20" s="64">
        <v>954496</v>
      </c>
      <c r="E20" s="9"/>
    </row>
    <row r="21" spans="1:5" ht="14.25">
      <c r="A21" s="17" t="s">
        <v>21</v>
      </c>
      <c r="B21" s="63">
        <v>1523673</v>
      </c>
      <c r="C21" s="17" t="s">
        <v>26</v>
      </c>
      <c r="D21" s="64">
        <v>9416005</v>
      </c>
      <c r="E21" s="2"/>
    </row>
    <row r="22" spans="1:5" ht="14.25">
      <c r="A22" s="17" t="s">
        <v>28</v>
      </c>
      <c r="B22" s="63"/>
      <c r="C22" s="17" t="s">
        <v>44</v>
      </c>
      <c r="D22" s="65"/>
      <c r="E22" s="2"/>
    </row>
    <row r="23" spans="1:5" ht="14.25">
      <c r="A23" s="20"/>
      <c r="B23" s="20"/>
      <c r="C23" s="17" t="s">
        <v>25</v>
      </c>
      <c r="D23" s="64"/>
      <c r="E23" s="2"/>
    </row>
    <row r="24" spans="1:5" s="10" customFormat="1" ht="14.25">
      <c r="A24" s="29"/>
      <c r="B24" s="29"/>
      <c r="C24" s="17" t="s">
        <v>14</v>
      </c>
      <c r="D24" s="64">
        <f>59318496+20200000</f>
        <v>79518496</v>
      </c>
      <c r="E24" s="9"/>
    </row>
    <row r="25" spans="1:5" s="10" customFormat="1" ht="15.75">
      <c r="A25" s="29"/>
      <c r="B25" s="29"/>
      <c r="C25" s="19" t="s">
        <v>3</v>
      </c>
      <c r="D25" s="26">
        <f t="shared" ref="D25" si="3">SUM(D26:D32)</f>
        <v>256734238</v>
      </c>
      <c r="E25" s="9"/>
    </row>
    <row r="26" spans="1:5" ht="14.25">
      <c r="A26" s="20"/>
      <c r="B26" s="20"/>
      <c r="C26" s="17" t="s">
        <v>27</v>
      </c>
      <c r="D26" s="61">
        <v>11575000</v>
      </c>
      <c r="E26" s="2"/>
    </row>
    <row r="27" spans="1:5" ht="14.25">
      <c r="A27" s="20"/>
      <c r="B27" s="20"/>
      <c r="C27" s="17" t="s">
        <v>15</v>
      </c>
      <c r="D27" s="61">
        <f>200432+132000</f>
        <v>332432</v>
      </c>
      <c r="E27" s="2"/>
    </row>
    <row r="28" spans="1:5" ht="14.25">
      <c r="A28" s="20"/>
      <c r="B28" s="20"/>
      <c r="C28" s="17" t="s">
        <v>16</v>
      </c>
      <c r="D28" s="61">
        <f>389423+23823077</f>
        <v>24212500</v>
      </c>
      <c r="E28" s="2"/>
    </row>
    <row r="29" spans="1:5" ht="14.25">
      <c r="A29" s="20"/>
      <c r="B29" s="20"/>
      <c r="C29" s="17" t="s">
        <v>17</v>
      </c>
      <c r="D29" s="61"/>
      <c r="E29" s="2"/>
    </row>
    <row r="30" spans="1:5" ht="14.25">
      <c r="A30" s="20"/>
      <c r="B30" s="20"/>
      <c r="C30" s="17" t="s">
        <v>45</v>
      </c>
      <c r="D30" s="61">
        <f>170000000+44734306</f>
        <v>214734306</v>
      </c>
      <c r="E30" s="2"/>
    </row>
    <row r="31" spans="1:5" ht="14.25">
      <c r="A31" s="20"/>
      <c r="B31" s="20"/>
      <c r="C31" s="17" t="s">
        <v>26</v>
      </c>
      <c r="D31" s="61"/>
      <c r="E31" s="2"/>
    </row>
    <row r="32" spans="1:5" ht="14.25">
      <c r="A32" s="20"/>
      <c r="B32" s="20"/>
      <c r="C32" s="17" t="s">
        <v>14</v>
      </c>
      <c r="D32" s="61">
        <f>2880000+3000000</f>
        <v>5880000</v>
      </c>
      <c r="E32" s="2"/>
    </row>
    <row r="33" spans="1:5" s="10" customFormat="1" ht="15.75">
      <c r="A33" s="29"/>
      <c r="B33" s="29"/>
      <c r="C33" s="19" t="s">
        <v>4</v>
      </c>
      <c r="D33" s="66">
        <v>52574600</v>
      </c>
      <c r="E33" s="9"/>
    </row>
    <row r="34" spans="1:5" ht="15.75">
      <c r="A34" s="20"/>
      <c r="B34" s="20"/>
      <c r="C34" s="19" t="s">
        <v>5</v>
      </c>
      <c r="D34" s="19">
        <f t="shared" ref="D34" si="4">SUM(D35:D36)</f>
        <v>12996500</v>
      </c>
      <c r="E34" s="2"/>
    </row>
    <row r="35" spans="1:5" ht="14.25">
      <c r="A35" s="20"/>
      <c r="B35" s="20"/>
      <c r="C35" s="17" t="s">
        <v>36</v>
      </c>
      <c r="D35" s="61">
        <v>12996500</v>
      </c>
      <c r="E35" s="2"/>
    </row>
    <row r="36" spans="1:5" ht="14.25">
      <c r="A36" s="20"/>
      <c r="B36" s="20"/>
      <c r="C36" s="17" t="s">
        <v>64</v>
      </c>
      <c r="D36" s="61"/>
      <c r="E36" s="2"/>
    </row>
    <row r="37" spans="1:5" ht="15.75">
      <c r="A37" s="20"/>
      <c r="B37" s="20"/>
      <c r="C37" s="19" t="s">
        <v>68</v>
      </c>
      <c r="D37" s="26">
        <f>SUM(D38:D41)</f>
        <v>673525</v>
      </c>
      <c r="E37" s="2"/>
    </row>
    <row r="38" spans="1:5" ht="14.25">
      <c r="A38" s="20"/>
      <c r="B38" s="20"/>
      <c r="C38" s="17" t="s">
        <v>22</v>
      </c>
      <c r="D38" s="61">
        <v>673525</v>
      </c>
      <c r="E38" s="2"/>
    </row>
    <row r="39" spans="1:5" ht="14.25">
      <c r="A39" s="20"/>
      <c r="B39" s="20"/>
      <c r="C39" s="17" t="s">
        <v>23</v>
      </c>
      <c r="D39" s="49"/>
      <c r="E39" s="2"/>
    </row>
    <row r="40" spans="1:5" ht="14.25">
      <c r="A40" s="20"/>
      <c r="B40" s="20"/>
      <c r="C40" s="17" t="s">
        <v>24</v>
      </c>
      <c r="D40" s="49"/>
      <c r="E40" s="2"/>
    </row>
    <row r="41" spans="1:5" ht="14.25">
      <c r="A41" s="20"/>
      <c r="B41" s="20"/>
      <c r="C41" s="17" t="s">
        <v>43</v>
      </c>
      <c r="D41" s="49"/>
      <c r="E41" s="2"/>
    </row>
    <row r="42" spans="1:5" s="6" customFormat="1" ht="17.25">
      <c r="A42" s="31" t="s">
        <v>70</v>
      </c>
      <c r="B42" s="123">
        <f>B5-D5</f>
        <v>105531522</v>
      </c>
      <c r="C42" s="123"/>
      <c r="D42" s="123"/>
      <c r="E42" s="21"/>
    </row>
    <row r="44" spans="1:5" ht="15.75">
      <c r="A44" s="33" t="s">
        <v>71</v>
      </c>
      <c r="B44" s="33" t="s">
        <v>72</v>
      </c>
    </row>
    <row r="45" spans="1:5" ht="16.5" customHeight="1">
      <c r="A45" s="35" t="s">
        <v>56</v>
      </c>
      <c r="B45" s="35">
        <v>0</v>
      </c>
    </row>
    <row r="46" spans="1:5" ht="16.5" customHeight="1">
      <c r="A46" s="17" t="s">
        <v>57</v>
      </c>
      <c r="B46" s="17">
        <v>2327000000</v>
      </c>
    </row>
    <row r="47" spans="1:5" ht="18" customHeight="1">
      <c r="A47" s="37" t="s">
        <v>60</v>
      </c>
      <c r="B47" s="36">
        <f>B45+B46</f>
        <v>2327000000</v>
      </c>
    </row>
    <row r="50" spans="1:5" ht="15.75">
      <c r="A50" s="33" t="s">
        <v>52</v>
      </c>
      <c r="B50" s="33" t="s">
        <v>72</v>
      </c>
    </row>
    <row r="51" spans="1:5" ht="19.5" customHeight="1">
      <c r="A51" s="32" t="s">
        <v>0</v>
      </c>
      <c r="B51" s="32">
        <v>23175565</v>
      </c>
    </row>
    <row r="52" spans="1:5" s="14" customFormat="1" ht="19.5" customHeight="1">
      <c r="A52" s="17" t="s">
        <v>77</v>
      </c>
      <c r="B52" s="17">
        <v>16561185</v>
      </c>
      <c r="D52" s="7"/>
      <c r="E52" s="7"/>
    </row>
    <row r="53" spans="1:5" s="14" customFormat="1" ht="19.5" customHeight="1">
      <c r="A53" s="49" t="s">
        <v>90</v>
      </c>
      <c r="B53" s="49">
        <v>985030</v>
      </c>
      <c r="D53" s="7"/>
      <c r="E53" s="7"/>
    </row>
    <row r="54" spans="1:5" s="14" customFormat="1" ht="19.5" customHeight="1">
      <c r="A54" s="17" t="s">
        <v>84</v>
      </c>
      <c r="B54" s="17">
        <v>17926960</v>
      </c>
      <c r="D54" s="7"/>
      <c r="E54" s="7"/>
    </row>
    <row r="55" spans="1:5" s="14" customFormat="1" ht="19.5" customHeight="1">
      <c r="A55" s="56" t="s">
        <v>85</v>
      </c>
      <c r="B55" s="56">
        <v>9275565</v>
      </c>
      <c r="D55" s="7"/>
      <c r="E55" s="7"/>
    </row>
    <row r="56" spans="1:5" s="14" customFormat="1" ht="19.5" customHeight="1">
      <c r="A56" s="56" t="s">
        <v>104</v>
      </c>
      <c r="B56" s="56">
        <v>12817375</v>
      </c>
      <c r="D56" s="7"/>
      <c r="E56" s="7"/>
    </row>
    <row r="57" spans="1:5" s="14" customFormat="1" ht="19.5" customHeight="1">
      <c r="A57" s="56" t="s">
        <v>100</v>
      </c>
      <c r="B57" s="56">
        <v>670000</v>
      </c>
      <c r="D57" s="7"/>
      <c r="E57" s="7"/>
    </row>
    <row r="58" spans="1:5" s="14" customFormat="1" ht="19.5" customHeight="1">
      <c r="A58" s="56" t="s">
        <v>79</v>
      </c>
      <c r="B58" s="56">
        <v>3500000</v>
      </c>
      <c r="D58" s="7"/>
      <c r="E58" s="7"/>
    </row>
    <row r="59" spans="1:5" s="14" customFormat="1" ht="19.5" customHeight="1">
      <c r="A59" s="56" t="s">
        <v>91</v>
      </c>
      <c r="B59" s="56">
        <v>43730901</v>
      </c>
      <c r="D59" s="7"/>
      <c r="E59" s="7"/>
    </row>
    <row r="60" spans="1:5" s="14" customFormat="1" ht="19.5" customHeight="1">
      <c r="A60" s="56" t="s">
        <v>105</v>
      </c>
      <c r="B60" s="56">
        <v>14599185</v>
      </c>
      <c r="D60" s="7"/>
      <c r="E60" s="7"/>
    </row>
    <row r="61" spans="1:5" s="14" customFormat="1" ht="19.5" customHeight="1">
      <c r="A61" s="56" t="s">
        <v>101</v>
      </c>
      <c r="B61" s="56">
        <v>22325470</v>
      </c>
      <c r="D61" s="7"/>
      <c r="E61" s="7"/>
    </row>
    <row r="62" spans="1:5" s="14" customFormat="1" ht="19.5" customHeight="1">
      <c r="A62" s="56" t="s">
        <v>106</v>
      </c>
      <c r="B62" s="56">
        <v>4094760</v>
      </c>
      <c r="D62" s="7"/>
      <c r="E62" s="7"/>
    </row>
    <row r="63" spans="1:5" s="14" customFormat="1" ht="19.5" customHeight="1">
      <c r="A63" s="56" t="s">
        <v>107</v>
      </c>
      <c r="B63" s="56">
        <v>36578588</v>
      </c>
      <c r="D63" s="7"/>
      <c r="E63" s="7"/>
    </row>
    <row r="64" spans="1:5" s="14" customFormat="1" ht="15.75">
      <c r="A64" s="37" t="s">
        <v>60</v>
      </c>
      <c r="B64" s="36">
        <f>SUM(B51:B63)</f>
        <v>206240584</v>
      </c>
      <c r="D64" s="7"/>
      <c r="E64" s="7"/>
    </row>
    <row r="66" spans="1:5" s="14" customFormat="1" ht="15.75">
      <c r="A66" s="47" t="s">
        <v>75</v>
      </c>
      <c r="B66" s="38"/>
      <c r="D66" s="7"/>
      <c r="E66" s="7"/>
    </row>
    <row r="67" spans="1:5" s="14" customFormat="1">
      <c r="A67" s="23"/>
      <c r="B67" s="7"/>
      <c r="D67" s="7"/>
      <c r="E67" s="7"/>
    </row>
    <row r="68" spans="1:5" s="14" customFormat="1">
      <c r="A68" s="23"/>
      <c r="B68" s="7"/>
      <c r="D68" s="7"/>
      <c r="E68" s="7"/>
    </row>
    <row r="69" spans="1:5" s="14" customFormat="1">
      <c r="A69" s="23"/>
      <c r="B69" s="7"/>
      <c r="D69" s="7"/>
      <c r="E69" s="7"/>
    </row>
    <row r="70" spans="1:5" s="14" customFormat="1" ht="15.75">
      <c r="A70" s="48" t="s">
        <v>76</v>
      </c>
      <c r="B70" s="7"/>
      <c r="D70" s="7"/>
      <c r="E70" s="7"/>
    </row>
  </sheetData>
  <mergeCells count="2">
    <mergeCell ref="A1:D1"/>
    <mergeCell ref="B42:D42"/>
  </mergeCells>
  <pageMargins left="0.86" right="0.14000000000000001" top="0.17" bottom="0.09" header="0.16" footer="0.09"/>
  <pageSetup scale="70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FFFF"/>
  </sheetPr>
  <dimension ref="A1:E66"/>
  <sheetViews>
    <sheetView topLeftCell="A16" workbookViewId="0">
      <selection activeCell="D61" sqref="D61"/>
    </sheetView>
  </sheetViews>
  <sheetFormatPr defaultRowHeight="12.75"/>
  <cols>
    <col min="1" max="1" width="44.85546875" style="7" customWidth="1"/>
    <col min="2" max="2" width="17.85546875" style="7" customWidth="1"/>
    <col min="3" max="3" width="39.5703125" style="14" customWidth="1"/>
    <col min="4" max="4" width="21.140625" style="7" customWidth="1"/>
    <col min="5" max="16384" width="9.140625" style="7"/>
  </cols>
  <sheetData>
    <row r="1" spans="1:5" ht="31.5" customHeight="1">
      <c r="A1" s="122" t="s">
        <v>109</v>
      </c>
      <c r="B1" s="122"/>
      <c r="C1" s="122"/>
      <c r="D1" s="122"/>
      <c r="E1" s="2"/>
    </row>
    <row r="2" spans="1:5" ht="13.5" customHeight="1">
      <c r="A2" s="69"/>
      <c r="B2" s="69"/>
      <c r="C2" s="69"/>
      <c r="D2" s="69"/>
      <c r="E2" s="2"/>
    </row>
    <row r="3" spans="1:5" ht="15.75">
      <c r="A3" s="11" t="s">
        <v>7</v>
      </c>
      <c r="B3" s="11" t="s">
        <v>65</v>
      </c>
      <c r="C3" s="11" t="s">
        <v>7</v>
      </c>
      <c r="D3" s="11" t="s">
        <v>65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20</v>
      </c>
      <c r="B5" s="25">
        <f>B6+B19+B20</f>
        <v>868224973</v>
      </c>
      <c r="C5" s="24" t="s">
        <v>69</v>
      </c>
      <c r="D5" s="25">
        <f>D6+D9+D17+D25+D33+D34+D37</f>
        <v>361224025</v>
      </c>
      <c r="E5" s="2"/>
    </row>
    <row r="6" spans="1:5" s="10" customFormat="1" ht="15.75">
      <c r="A6" s="19" t="s">
        <v>10</v>
      </c>
      <c r="B6" s="26">
        <f>B7+B12+B16</f>
        <v>865992306</v>
      </c>
      <c r="C6" s="19" t="s">
        <v>2</v>
      </c>
      <c r="D6" s="19">
        <f>SUM(D7:D8)</f>
        <v>20568484</v>
      </c>
      <c r="E6" s="9"/>
    </row>
    <row r="7" spans="1:5" s="16" customFormat="1" ht="15.75">
      <c r="A7" s="27" t="s">
        <v>8</v>
      </c>
      <c r="B7" s="27">
        <f>SUM(B8:B11)</f>
        <v>198057941</v>
      </c>
      <c r="C7" s="17" t="s">
        <v>6</v>
      </c>
      <c r="D7" s="62"/>
      <c r="E7" s="15"/>
    </row>
    <row r="8" spans="1:5" ht="14.25">
      <c r="A8" s="17" t="s">
        <v>48</v>
      </c>
      <c r="B8" s="49">
        <v>170062155</v>
      </c>
      <c r="C8" s="17" t="s">
        <v>29</v>
      </c>
      <c r="D8" s="51">
        <v>20568484</v>
      </c>
      <c r="E8" s="2"/>
    </row>
    <row r="9" spans="1:5" ht="15.75">
      <c r="A9" s="17" t="s">
        <v>49</v>
      </c>
      <c r="B9" s="49">
        <v>25175786</v>
      </c>
      <c r="C9" s="19" t="s">
        <v>66</v>
      </c>
      <c r="D9" s="28">
        <f>SUM(D10:D16)</f>
        <v>33217215</v>
      </c>
      <c r="E9" s="2"/>
    </row>
    <row r="10" spans="1:5" ht="14.25">
      <c r="A10" s="17" t="s">
        <v>50</v>
      </c>
      <c r="B10" s="49">
        <v>1320000</v>
      </c>
      <c r="C10" s="17" t="s">
        <v>11</v>
      </c>
      <c r="D10" s="64">
        <v>20970895</v>
      </c>
      <c r="E10" s="2"/>
    </row>
    <row r="11" spans="1:5" ht="14.25">
      <c r="A11" s="49" t="s">
        <v>51</v>
      </c>
      <c r="B11" s="49">
        <v>1500000</v>
      </c>
      <c r="C11" s="17" t="s">
        <v>12</v>
      </c>
      <c r="D11" s="64"/>
      <c r="E11" s="2"/>
    </row>
    <row r="12" spans="1:5" s="16" customFormat="1" ht="15.75">
      <c r="A12" s="27" t="s">
        <v>9</v>
      </c>
      <c r="B12" s="27">
        <f t="shared" ref="B12" si="0">SUM(B13:B15)</f>
        <v>667934365</v>
      </c>
      <c r="C12" s="17" t="s">
        <v>13</v>
      </c>
      <c r="D12" s="64">
        <v>996320</v>
      </c>
      <c r="E12" s="15"/>
    </row>
    <row r="13" spans="1:5" ht="14.25">
      <c r="A13" s="17" t="s">
        <v>48</v>
      </c>
      <c r="B13" s="17">
        <v>574048223</v>
      </c>
      <c r="C13" s="17" t="s">
        <v>26</v>
      </c>
      <c r="D13" s="64">
        <v>10850000</v>
      </c>
      <c r="E13" s="2"/>
    </row>
    <row r="14" spans="1:5" ht="14.25">
      <c r="A14" s="17" t="s">
        <v>49</v>
      </c>
      <c r="B14" s="17">
        <v>82300542</v>
      </c>
      <c r="C14" s="17" t="s">
        <v>44</v>
      </c>
      <c r="D14" s="65"/>
      <c r="E14" s="2"/>
    </row>
    <row r="15" spans="1:5" ht="14.25">
      <c r="A15" s="17" t="s">
        <v>51</v>
      </c>
      <c r="B15" s="17">
        <v>11585600</v>
      </c>
      <c r="C15" s="17" t="s">
        <v>25</v>
      </c>
      <c r="D15" s="64"/>
      <c r="E15" s="2"/>
    </row>
    <row r="16" spans="1:5" ht="15.75">
      <c r="A16" s="27" t="s">
        <v>61</v>
      </c>
      <c r="B16" s="27">
        <f t="shared" ref="B16" si="1">SUM(B17:B18)</f>
        <v>0</v>
      </c>
      <c r="C16" s="17" t="s">
        <v>14</v>
      </c>
      <c r="D16" s="64">
        <v>400000</v>
      </c>
      <c r="E16" s="2"/>
    </row>
    <row r="17" spans="1:5" ht="15.75">
      <c r="A17" s="17" t="s">
        <v>62</v>
      </c>
      <c r="B17" s="49"/>
      <c r="C17" s="19" t="s">
        <v>67</v>
      </c>
      <c r="D17" s="26">
        <f t="shared" ref="D17" si="2">SUM(D18:D24)</f>
        <v>112769816</v>
      </c>
      <c r="E17" s="2"/>
    </row>
    <row r="18" spans="1:5" ht="14.25">
      <c r="A18" s="17" t="s">
        <v>63</v>
      </c>
      <c r="B18" s="17"/>
      <c r="C18" s="17" t="s">
        <v>11</v>
      </c>
      <c r="D18" s="64">
        <v>71792947</v>
      </c>
      <c r="E18" s="2"/>
    </row>
    <row r="19" spans="1:5" s="10" customFormat="1" ht="17.25" customHeight="1">
      <c r="A19" s="19" t="s">
        <v>18</v>
      </c>
      <c r="B19" s="62">
        <v>1672467</v>
      </c>
      <c r="C19" s="17" t="s">
        <v>12</v>
      </c>
      <c r="D19" s="64"/>
      <c r="E19" s="9"/>
    </row>
    <row r="20" spans="1:5" s="10" customFormat="1" ht="15.75">
      <c r="A20" s="19" t="s">
        <v>19</v>
      </c>
      <c r="B20" s="26">
        <f>SUM(B21:B22)</f>
        <v>560200</v>
      </c>
      <c r="C20" s="17" t="s">
        <v>13</v>
      </c>
      <c r="D20" s="64">
        <v>912979</v>
      </c>
      <c r="E20" s="9"/>
    </row>
    <row r="21" spans="1:5" ht="14.25">
      <c r="A21" s="17" t="s">
        <v>21</v>
      </c>
      <c r="B21" s="63">
        <v>165200</v>
      </c>
      <c r="C21" s="17" t="s">
        <v>26</v>
      </c>
      <c r="D21" s="64">
        <v>3436000</v>
      </c>
      <c r="E21" s="2"/>
    </row>
    <row r="22" spans="1:5" ht="14.25">
      <c r="A22" s="17" t="s">
        <v>28</v>
      </c>
      <c r="B22" s="63">
        <v>395000</v>
      </c>
      <c r="C22" s="17" t="s">
        <v>44</v>
      </c>
      <c r="D22" s="65"/>
      <c r="E22" s="2"/>
    </row>
    <row r="23" spans="1:5" ht="14.25">
      <c r="A23" s="20"/>
      <c r="B23" s="20"/>
      <c r="C23" s="17" t="s">
        <v>25</v>
      </c>
      <c r="D23" s="64">
        <v>4714000</v>
      </c>
      <c r="E23" s="2"/>
    </row>
    <row r="24" spans="1:5" s="10" customFormat="1" ht="14.25">
      <c r="A24" s="29"/>
      <c r="B24" s="29"/>
      <c r="C24" s="17" t="s">
        <v>14</v>
      </c>
      <c r="D24" s="64">
        <v>31913890</v>
      </c>
      <c r="E24" s="9"/>
    </row>
    <row r="25" spans="1:5" s="10" customFormat="1" ht="15.75">
      <c r="A25" s="29"/>
      <c r="B25" s="29"/>
      <c r="C25" s="19" t="s">
        <v>3</v>
      </c>
      <c r="D25" s="26">
        <f t="shared" ref="D25" si="3">SUM(D26:D32)</f>
        <v>115562631</v>
      </c>
      <c r="E25" s="9"/>
    </row>
    <row r="26" spans="1:5" ht="14.25">
      <c r="A26" s="20"/>
      <c r="B26" s="20"/>
      <c r="C26" s="17" t="s">
        <v>27</v>
      </c>
      <c r="D26" s="61">
        <v>31527000</v>
      </c>
      <c r="E26" s="2"/>
    </row>
    <row r="27" spans="1:5" ht="14.25">
      <c r="A27" s="20"/>
      <c r="B27" s="20"/>
      <c r="C27" s="17" t="s">
        <v>15</v>
      </c>
      <c r="D27" s="61">
        <v>125772</v>
      </c>
      <c r="E27" s="2"/>
    </row>
    <row r="28" spans="1:5" ht="14.25">
      <c r="A28" s="20"/>
      <c r="B28" s="20"/>
      <c r="C28" s="17" t="s">
        <v>16</v>
      </c>
      <c r="D28" s="61">
        <v>250096</v>
      </c>
      <c r="E28" s="2"/>
    </row>
    <row r="29" spans="1:5" ht="14.25">
      <c r="A29" s="20"/>
      <c r="B29" s="20"/>
      <c r="C29" s="17" t="s">
        <v>17</v>
      </c>
      <c r="D29" s="61"/>
      <c r="E29" s="2"/>
    </row>
    <row r="30" spans="1:5" ht="14.25">
      <c r="A30" s="20"/>
      <c r="B30" s="20"/>
      <c r="C30" s="17" t="s">
        <v>45</v>
      </c>
      <c r="D30" s="61">
        <v>79799763</v>
      </c>
      <c r="E30" s="2"/>
    </row>
    <row r="31" spans="1:5" ht="14.25">
      <c r="A31" s="20"/>
      <c r="B31" s="20"/>
      <c r="C31" s="17" t="s">
        <v>26</v>
      </c>
      <c r="D31" s="61"/>
      <c r="E31" s="2"/>
    </row>
    <row r="32" spans="1:5" ht="14.25">
      <c r="A32" s="20"/>
      <c r="B32" s="20"/>
      <c r="C32" s="17" t="s">
        <v>14</v>
      </c>
      <c r="D32" s="61">
        <v>3860000</v>
      </c>
      <c r="E32" s="2"/>
    </row>
    <row r="33" spans="1:5" s="10" customFormat="1" ht="15.75">
      <c r="A33" s="29"/>
      <c r="B33" s="29"/>
      <c r="C33" s="19" t="s">
        <v>4</v>
      </c>
      <c r="D33" s="66">
        <v>51600450</v>
      </c>
      <c r="E33" s="9"/>
    </row>
    <row r="34" spans="1:5" ht="15.75">
      <c r="A34" s="20"/>
      <c r="B34" s="20"/>
      <c r="C34" s="19" t="s">
        <v>5</v>
      </c>
      <c r="D34" s="19">
        <f t="shared" ref="D34" si="4">SUM(D35:D36)</f>
        <v>0</v>
      </c>
      <c r="E34" s="2"/>
    </row>
    <row r="35" spans="1:5" ht="14.25">
      <c r="A35" s="20"/>
      <c r="B35" s="20"/>
      <c r="C35" s="17" t="s">
        <v>36</v>
      </c>
      <c r="D35" s="61"/>
      <c r="E35" s="2"/>
    </row>
    <row r="36" spans="1:5" ht="14.25">
      <c r="A36" s="20"/>
      <c r="B36" s="20"/>
      <c r="C36" s="17" t="s">
        <v>64</v>
      </c>
      <c r="D36" s="61"/>
      <c r="E36" s="2"/>
    </row>
    <row r="37" spans="1:5" ht="15.75">
      <c r="A37" s="20"/>
      <c r="B37" s="20"/>
      <c r="C37" s="19" t="s">
        <v>68</v>
      </c>
      <c r="D37" s="26">
        <f>SUM(D38:D41)</f>
        <v>27505429</v>
      </c>
      <c r="E37" s="2"/>
    </row>
    <row r="38" spans="1:5" ht="14.25">
      <c r="A38" s="20"/>
      <c r="B38" s="20"/>
      <c r="C38" s="17" t="s">
        <v>22</v>
      </c>
      <c r="D38" s="61">
        <v>27505429</v>
      </c>
      <c r="E38" s="2"/>
    </row>
    <row r="39" spans="1:5" ht="14.25">
      <c r="A39" s="20"/>
      <c r="B39" s="20"/>
      <c r="C39" s="17" t="s">
        <v>23</v>
      </c>
      <c r="D39" s="49"/>
      <c r="E39" s="2"/>
    </row>
    <row r="40" spans="1:5" ht="14.25">
      <c r="A40" s="20"/>
      <c r="B40" s="20"/>
      <c r="C40" s="17" t="s">
        <v>24</v>
      </c>
      <c r="D40" s="49"/>
      <c r="E40" s="2"/>
    </row>
    <row r="41" spans="1:5" ht="14.25">
      <c r="A41" s="20"/>
      <c r="B41" s="20"/>
      <c r="C41" s="17" t="s">
        <v>43</v>
      </c>
      <c r="D41" s="49"/>
      <c r="E41" s="2"/>
    </row>
    <row r="42" spans="1:5" s="6" customFormat="1" ht="17.25">
      <c r="A42" s="31" t="s">
        <v>70</v>
      </c>
      <c r="B42" s="123">
        <f>B5-D5</f>
        <v>507000948</v>
      </c>
      <c r="C42" s="123"/>
      <c r="D42" s="123"/>
      <c r="E42" s="21"/>
    </row>
    <row r="44" spans="1:5" ht="15.75">
      <c r="A44" s="33" t="s">
        <v>71</v>
      </c>
      <c r="B44" s="33" t="s">
        <v>72</v>
      </c>
    </row>
    <row r="45" spans="1:5" ht="16.5" customHeight="1">
      <c r="A45" s="35" t="s">
        <v>56</v>
      </c>
      <c r="B45" s="35">
        <v>0</v>
      </c>
    </row>
    <row r="46" spans="1:5" ht="16.5" customHeight="1">
      <c r="A46" s="17" t="s">
        <v>57</v>
      </c>
      <c r="B46" s="17">
        <v>2391000000</v>
      </c>
    </row>
    <row r="47" spans="1:5" ht="18" customHeight="1">
      <c r="A47" s="37" t="s">
        <v>60</v>
      </c>
      <c r="B47" s="36">
        <f>B45+B46</f>
        <v>2391000000</v>
      </c>
    </row>
    <row r="50" spans="1:5" ht="15.75">
      <c r="A50" s="33" t="s">
        <v>52</v>
      </c>
      <c r="B50" s="33" t="s">
        <v>72</v>
      </c>
    </row>
    <row r="51" spans="1:5" ht="19.5" customHeight="1">
      <c r="A51" s="32" t="s">
        <v>0</v>
      </c>
      <c r="B51" s="32">
        <v>30465876</v>
      </c>
    </row>
    <row r="52" spans="1:5" s="14" customFormat="1" ht="19.5" customHeight="1">
      <c r="A52" s="49" t="s">
        <v>90</v>
      </c>
      <c r="B52" s="49">
        <v>1258250</v>
      </c>
      <c r="D52" s="7"/>
      <c r="E52" s="7"/>
    </row>
    <row r="53" spans="1:5" s="14" customFormat="1" ht="19.5" customHeight="1">
      <c r="A53" s="56" t="s">
        <v>85</v>
      </c>
      <c r="B53" s="56">
        <v>18288695</v>
      </c>
      <c r="D53" s="7"/>
      <c r="E53" s="7"/>
    </row>
    <row r="54" spans="1:5" s="14" customFormat="1" ht="19.5" customHeight="1">
      <c r="A54" s="56" t="s">
        <v>104</v>
      </c>
      <c r="B54" s="56">
        <v>12887615</v>
      </c>
      <c r="D54" s="7"/>
      <c r="E54" s="7"/>
    </row>
    <row r="55" spans="1:5" s="14" customFormat="1" ht="19.5" customHeight="1">
      <c r="A55" s="56" t="s">
        <v>100</v>
      </c>
      <c r="B55" s="56">
        <v>670000</v>
      </c>
      <c r="D55" s="7"/>
      <c r="E55" s="7"/>
    </row>
    <row r="56" spans="1:5" s="14" customFormat="1" ht="19.5" customHeight="1">
      <c r="A56" s="56" t="s">
        <v>79</v>
      </c>
      <c r="B56" s="56">
        <v>3500000</v>
      </c>
      <c r="D56" s="7"/>
      <c r="E56" s="7"/>
    </row>
    <row r="57" spans="1:5" s="14" customFormat="1" ht="19.5" customHeight="1">
      <c r="A57" s="56" t="s">
        <v>101</v>
      </c>
      <c r="B57" s="56">
        <v>31476809</v>
      </c>
      <c r="D57" s="7"/>
      <c r="E57" s="7"/>
    </row>
    <row r="58" spans="1:5" s="14" customFormat="1" ht="19.5" customHeight="1">
      <c r="A58" s="56" t="s">
        <v>106</v>
      </c>
      <c r="B58" s="56">
        <v>4721611</v>
      </c>
      <c r="D58" s="7"/>
      <c r="E58" s="7"/>
    </row>
    <row r="59" spans="1:5" s="14" customFormat="1" ht="19.5" customHeight="1">
      <c r="A59" s="56" t="s">
        <v>107</v>
      </c>
      <c r="B59" s="56">
        <v>141000</v>
      </c>
      <c r="D59" s="7"/>
      <c r="E59" s="7"/>
    </row>
    <row r="60" spans="1:5" s="14" customFormat="1" ht="15.75">
      <c r="A60" s="37" t="s">
        <v>60</v>
      </c>
      <c r="B60" s="36">
        <f>SUM(B51:B59)</f>
        <v>103409856</v>
      </c>
      <c r="D60" s="7"/>
      <c r="E60" s="7"/>
    </row>
    <row r="62" spans="1:5" s="14" customFormat="1" ht="15.75">
      <c r="A62" s="47" t="s">
        <v>75</v>
      </c>
      <c r="B62" s="38"/>
      <c r="D62" s="7"/>
      <c r="E62" s="7"/>
    </row>
    <row r="63" spans="1:5" s="14" customFormat="1">
      <c r="A63" s="23"/>
      <c r="B63" s="7"/>
      <c r="D63" s="7"/>
      <c r="E63" s="7"/>
    </row>
    <row r="64" spans="1:5" s="14" customFormat="1">
      <c r="A64" s="23"/>
      <c r="B64" s="7"/>
      <c r="D64" s="7"/>
      <c r="E64" s="7"/>
    </row>
    <row r="65" spans="1:5" s="14" customFormat="1">
      <c r="A65" s="23"/>
      <c r="B65" s="7"/>
      <c r="D65" s="7"/>
      <c r="E65" s="7"/>
    </row>
    <row r="66" spans="1:5" s="14" customFormat="1" ht="15.75">
      <c r="A66" s="48" t="s">
        <v>76</v>
      </c>
      <c r="B66" s="7"/>
      <c r="D66" s="7"/>
      <c r="E66" s="7"/>
    </row>
  </sheetData>
  <mergeCells count="2">
    <mergeCell ref="A1:D1"/>
    <mergeCell ref="B42:D42"/>
  </mergeCells>
  <pageMargins left="0.86" right="0.14000000000000001" top="0.17" bottom="0.09" header="0.16" footer="0.09"/>
  <pageSetup scale="70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FFFF"/>
  </sheetPr>
  <dimension ref="A1:E69"/>
  <sheetViews>
    <sheetView topLeftCell="A25" workbookViewId="0">
      <selection activeCell="O31" sqref="O31"/>
    </sheetView>
  </sheetViews>
  <sheetFormatPr defaultRowHeight="12.75"/>
  <cols>
    <col min="1" max="1" width="44.85546875" style="7" customWidth="1"/>
    <col min="2" max="2" width="17.85546875" style="7" customWidth="1"/>
    <col min="3" max="3" width="39.5703125" style="14" customWidth="1"/>
    <col min="4" max="4" width="21.140625" style="7" customWidth="1"/>
    <col min="5" max="16384" width="9.140625" style="7"/>
  </cols>
  <sheetData>
    <row r="1" spans="1:5" ht="31.5" customHeight="1">
      <c r="A1" s="122" t="s">
        <v>111</v>
      </c>
      <c r="B1" s="122"/>
      <c r="C1" s="122"/>
      <c r="D1" s="122"/>
      <c r="E1" s="2"/>
    </row>
    <row r="2" spans="1:5" ht="13.5" customHeight="1">
      <c r="A2" s="70"/>
      <c r="B2" s="70"/>
      <c r="C2" s="70"/>
      <c r="D2" s="70"/>
      <c r="E2" s="2"/>
    </row>
    <row r="3" spans="1:5" ht="15.75">
      <c r="A3" s="11" t="s">
        <v>7</v>
      </c>
      <c r="B3" s="11" t="s">
        <v>65</v>
      </c>
      <c r="C3" s="11" t="s">
        <v>7</v>
      </c>
      <c r="D3" s="11" t="s">
        <v>65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20</v>
      </c>
      <c r="B5" s="25">
        <f>B6+B21+B22</f>
        <v>711535198</v>
      </c>
      <c r="C5" s="24" t="s">
        <v>69</v>
      </c>
      <c r="D5" s="25">
        <f>D6+D9+D17+D25+D33+D34+D37</f>
        <v>308053611</v>
      </c>
      <c r="E5" s="2"/>
    </row>
    <row r="6" spans="1:5" s="10" customFormat="1" ht="15.75">
      <c r="A6" s="19" t="s">
        <v>10</v>
      </c>
      <c r="B6" s="26">
        <f>B7+B13+B18</f>
        <v>711329006</v>
      </c>
      <c r="C6" s="19" t="s">
        <v>2</v>
      </c>
      <c r="D6" s="19">
        <f>SUM(D7:D8)</f>
        <v>20540361</v>
      </c>
      <c r="E6" s="9"/>
    </row>
    <row r="7" spans="1:5" s="16" customFormat="1" ht="15.75">
      <c r="A7" s="27" t="s">
        <v>8</v>
      </c>
      <c r="B7" s="27">
        <f>SUM(B8:B12)</f>
        <v>200376217</v>
      </c>
      <c r="C7" s="17" t="s">
        <v>6</v>
      </c>
      <c r="D7" s="62"/>
      <c r="E7" s="15"/>
    </row>
    <row r="8" spans="1:5" ht="14.25">
      <c r="A8" s="17" t="s">
        <v>48</v>
      </c>
      <c r="B8" s="49">
        <v>169151896</v>
      </c>
      <c r="C8" s="17" t="s">
        <v>29</v>
      </c>
      <c r="D8" s="51">
        <v>20540361</v>
      </c>
      <c r="E8" s="2"/>
    </row>
    <row r="9" spans="1:5" ht="15.75">
      <c r="A9" s="17" t="s">
        <v>49</v>
      </c>
      <c r="B9" s="49">
        <v>25549664</v>
      </c>
      <c r="C9" s="19" t="s">
        <v>66</v>
      </c>
      <c r="D9" s="28">
        <f>SUM(D10:D16)</f>
        <v>26585757</v>
      </c>
      <c r="E9" s="2"/>
    </row>
    <row r="10" spans="1:5" ht="14.25">
      <c r="A10" s="17" t="s">
        <v>50</v>
      </c>
      <c r="B10" s="49">
        <v>1320000</v>
      </c>
      <c r="C10" s="17" t="s">
        <v>11</v>
      </c>
      <c r="D10" s="64">
        <v>21658944</v>
      </c>
      <c r="E10" s="2"/>
    </row>
    <row r="11" spans="1:5" ht="14.25">
      <c r="A11" s="49" t="s">
        <v>51</v>
      </c>
      <c r="B11" s="49"/>
      <c r="C11" s="17" t="s">
        <v>12</v>
      </c>
      <c r="D11" s="64">
        <v>1827580</v>
      </c>
      <c r="E11" s="2"/>
    </row>
    <row r="12" spans="1:5" ht="14.25">
      <c r="A12" s="49" t="s">
        <v>112</v>
      </c>
      <c r="B12" s="49">
        <v>4354657</v>
      </c>
      <c r="C12" s="17" t="s">
        <v>13</v>
      </c>
      <c r="D12" s="64">
        <v>975640</v>
      </c>
      <c r="E12" s="2"/>
    </row>
    <row r="13" spans="1:5" s="16" customFormat="1" ht="15.75">
      <c r="A13" s="27" t="s">
        <v>9</v>
      </c>
      <c r="B13" s="27">
        <f>SUM(B14:B17)</f>
        <v>510952789</v>
      </c>
      <c r="C13" s="17" t="s">
        <v>26</v>
      </c>
      <c r="D13" s="64">
        <v>70000</v>
      </c>
      <c r="E13" s="15"/>
    </row>
    <row r="14" spans="1:5" ht="14.25">
      <c r="A14" s="17" t="s">
        <v>48</v>
      </c>
      <c r="B14" s="17">
        <v>393035457</v>
      </c>
      <c r="C14" s="17" t="s">
        <v>44</v>
      </c>
      <c r="D14" s="65"/>
      <c r="E14" s="2"/>
    </row>
    <row r="15" spans="1:5" ht="14.25">
      <c r="A15" s="17" t="s">
        <v>49</v>
      </c>
      <c r="B15" s="17">
        <v>87731911</v>
      </c>
      <c r="C15" s="17" t="s">
        <v>25</v>
      </c>
      <c r="D15" s="64"/>
      <c r="E15" s="2"/>
    </row>
    <row r="16" spans="1:5" ht="14.25">
      <c r="A16" s="17" t="s">
        <v>51</v>
      </c>
      <c r="B16" s="17">
        <v>12258650</v>
      </c>
      <c r="C16" s="17" t="s">
        <v>14</v>
      </c>
      <c r="D16" s="64">
        <v>2053593</v>
      </c>
      <c r="E16" s="2"/>
    </row>
    <row r="17" spans="1:5" ht="15.75">
      <c r="A17" s="49" t="s">
        <v>112</v>
      </c>
      <c r="B17" s="49">
        <v>17926771</v>
      </c>
      <c r="C17" s="19" t="s">
        <v>67</v>
      </c>
      <c r="D17" s="26">
        <f t="shared" ref="D17" si="0">SUM(D18:D24)</f>
        <v>124784818</v>
      </c>
      <c r="E17" s="2"/>
    </row>
    <row r="18" spans="1:5" ht="15.75">
      <c r="A18" s="27" t="s">
        <v>61</v>
      </c>
      <c r="B18" s="27">
        <f t="shared" ref="B18" si="1">SUM(B19:B20)</f>
        <v>0</v>
      </c>
      <c r="C18" s="17" t="s">
        <v>11</v>
      </c>
      <c r="D18" s="64">
        <v>67881958</v>
      </c>
      <c r="E18" s="2"/>
    </row>
    <row r="19" spans="1:5" ht="14.25">
      <c r="A19" s="17" t="s">
        <v>62</v>
      </c>
      <c r="B19" s="49"/>
      <c r="C19" s="17" t="s">
        <v>12</v>
      </c>
      <c r="D19" s="64">
        <v>7016035</v>
      </c>
      <c r="E19" s="2"/>
    </row>
    <row r="20" spans="1:5" ht="14.25">
      <c r="A20" s="17" t="s">
        <v>63</v>
      </c>
      <c r="B20" s="17"/>
      <c r="C20" s="17" t="s">
        <v>13</v>
      </c>
      <c r="D20" s="64">
        <v>896139</v>
      </c>
      <c r="E20" s="2"/>
    </row>
    <row r="21" spans="1:5" s="10" customFormat="1" ht="17.25" customHeight="1">
      <c r="A21" s="19" t="s">
        <v>18</v>
      </c>
      <c r="B21" s="62">
        <v>77392</v>
      </c>
      <c r="C21" s="17" t="s">
        <v>26</v>
      </c>
      <c r="D21" s="64">
        <v>440000</v>
      </c>
      <c r="E21" s="9"/>
    </row>
    <row r="22" spans="1:5" s="10" customFormat="1" ht="15.75">
      <c r="A22" s="19" t="s">
        <v>19</v>
      </c>
      <c r="B22" s="26">
        <f>SUM(B23:B24)</f>
        <v>128800</v>
      </c>
      <c r="C22" s="17" t="s">
        <v>44</v>
      </c>
      <c r="D22" s="65"/>
      <c r="E22" s="9"/>
    </row>
    <row r="23" spans="1:5" ht="14.25">
      <c r="A23" s="17" t="s">
        <v>21</v>
      </c>
      <c r="B23" s="63"/>
      <c r="C23" s="17" t="s">
        <v>25</v>
      </c>
      <c r="D23" s="64"/>
      <c r="E23" s="2"/>
    </row>
    <row r="24" spans="1:5" ht="14.25">
      <c r="A24" s="17" t="s">
        <v>28</v>
      </c>
      <c r="B24" s="63">
        <v>128800</v>
      </c>
      <c r="C24" s="17" t="s">
        <v>14</v>
      </c>
      <c r="D24" s="64">
        <v>48550686</v>
      </c>
      <c r="E24" s="2"/>
    </row>
    <row r="25" spans="1:5" ht="15.75">
      <c r="A25" s="20"/>
      <c r="B25" s="20"/>
      <c r="C25" s="19" t="s">
        <v>3</v>
      </c>
      <c r="D25" s="26">
        <f t="shared" ref="D25" si="2">SUM(D26:D32)</f>
        <v>61260442</v>
      </c>
      <c r="E25" s="2"/>
    </row>
    <row r="26" spans="1:5" s="10" customFormat="1" ht="14.25">
      <c r="A26" s="29"/>
      <c r="B26" s="29"/>
      <c r="C26" s="17" t="s">
        <v>27</v>
      </c>
      <c r="D26" s="61">
        <v>12979000</v>
      </c>
      <c r="E26" s="9"/>
    </row>
    <row r="27" spans="1:5" s="10" customFormat="1" ht="14.25">
      <c r="A27" s="29"/>
      <c r="B27" s="29"/>
      <c r="C27" s="17" t="s">
        <v>15</v>
      </c>
      <c r="D27" s="61"/>
      <c r="E27" s="9"/>
    </row>
    <row r="28" spans="1:5" ht="14.25">
      <c r="A28" s="20"/>
      <c r="B28" s="20"/>
      <c r="C28" s="17" t="s">
        <v>16</v>
      </c>
      <c r="D28" s="61">
        <v>27472404</v>
      </c>
      <c r="E28" s="2"/>
    </row>
    <row r="29" spans="1:5" ht="14.25">
      <c r="A29" s="20"/>
      <c r="B29" s="20"/>
      <c r="C29" s="17" t="s">
        <v>17</v>
      </c>
      <c r="D29" s="61"/>
      <c r="E29" s="2"/>
    </row>
    <row r="30" spans="1:5" ht="14.25">
      <c r="A30" s="20"/>
      <c r="B30" s="20"/>
      <c r="C30" s="17" t="s">
        <v>45</v>
      </c>
      <c r="D30" s="61"/>
      <c r="E30" s="2"/>
    </row>
    <row r="31" spans="1:5" ht="14.25">
      <c r="A31" s="20"/>
      <c r="B31" s="20"/>
      <c r="C31" s="17" t="s">
        <v>26</v>
      </c>
      <c r="D31" s="61"/>
      <c r="E31" s="2"/>
    </row>
    <row r="32" spans="1:5" ht="14.25">
      <c r="A32" s="20"/>
      <c r="B32" s="20"/>
      <c r="C32" s="17" t="s">
        <v>14</v>
      </c>
      <c r="D32" s="61">
        <v>20809038</v>
      </c>
      <c r="E32" s="2"/>
    </row>
    <row r="33" spans="1:5" ht="15.75">
      <c r="A33" s="20"/>
      <c r="B33" s="20"/>
      <c r="C33" s="19" t="s">
        <v>4</v>
      </c>
      <c r="D33" s="66">
        <v>51438912</v>
      </c>
      <c r="E33" s="2"/>
    </row>
    <row r="34" spans="1:5" ht="15.75">
      <c r="A34" s="20"/>
      <c r="B34" s="20"/>
      <c r="C34" s="19" t="s">
        <v>5</v>
      </c>
      <c r="D34" s="19">
        <f t="shared" ref="D34" si="3">SUM(D35:D36)</f>
        <v>0</v>
      </c>
      <c r="E34" s="2"/>
    </row>
    <row r="35" spans="1:5" s="10" customFormat="1" ht="14.25">
      <c r="A35" s="29"/>
      <c r="B35" s="29"/>
      <c r="C35" s="17" t="s">
        <v>36</v>
      </c>
      <c r="D35" s="61"/>
      <c r="E35" s="9"/>
    </row>
    <row r="36" spans="1:5" ht="14.25">
      <c r="A36" s="20"/>
      <c r="B36" s="20"/>
      <c r="C36" s="17" t="s">
        <v>64</v>
      </c>
      <c r="D36" s="61"/>
      <c r="E36" s="2"/>
    </row>
    <row r="37" spans="1:5" ht="15.75">
      <c r="A37" s="20"/>
      <c r="B37" s="20"/>
      <c r="C37" s="19" t="s">
        <v>68</v>
      </c>
      <c r="D37" s="26">
        <f>SUM(D38:D41)</f>
        <v>23443321</v>
      </c>
      <c r="E37" s="2"/>
    </row>
    <row r="38" spans="1:5" ht="14.25">
      <c r="A38" s="20"/>
      <c r="B38" s="20"/>
      <c r="C38" s="17" t="s">
        <v>22</v>
      </c>
      <c r="D38" s="61">
        <v>15938321</v>
      </c>
      <c r="E38" s="2"/>
    </row>
    <row r="39" spans="1:5" ht="14.25">
      <c r="A39" s="20"/>
      <c r="B39" s="20"/>
      <c r="C39" s="17" t="s">
        <v>23</v>
      </c>
      <c r="D39" s="49">
        <v>7505000</v>
      </c>
      <c r="E39" s="2"/>
    </row>
    <row r="40" spans="1:5" ht="14.25">
      <c r="A40" s="20"/>
      <c r="B40" s="20"/>
      <c r="C40" s="17" t="s">
        <v>24</v>
      </c>
      <c r="D40" s="49"/>
      <c r="E40" s="2"/>
    </row>
    <row r="41" spans="1:5" ht="14.25">
      <c r="A41" s="20"/>
      <c r="B41" s="20"/>
      <c r="C41" s="17" t="s">
        <v>43</v>
      </c>
      <c r="D41" s="49"/>
      <c r="E41" s="2"/>
    </row>
    <row r="42" spans="1:5" s="6" customFormat="1" ht="17.25">
      <c r="A42" s="31" t="s">
        <v>70</v>
      </c>
      <c r="B42" s="123">
        <f>B5-D5</f>
        <v>403481587</v>
      </c>
      <c r="C42" s="123"/>
      <c r="D42" s="123"/>
      <c r="E42" s="21"/>
    </row>
    <row r="44" spans="1:5" ht="15.75">
      <c r="A44" s="33" t="s">
        <v>71</v>
      </c>
      <c r="B44" s="33" t="s">
        <v>72</v>
      </c>
    </row>
    <row r="45" spans="1:5" ht="16.5" customHeight="1">
      <c r="A45" s="35" t="s">
        <v>56</v>
      </c>
      <c r="B45" s="35">
        <v>0</v>
      </c>
    </row>
    <row r="46" spans="1:5" ht="16.5" customHeight="1">
      <c r="A46" s="17" t="s">
        <v>57</v>
      </c>
      <c r="B46" s="17">
        <v>2071000000</v>
      </c>
    </row>
    <row r="47" spans="1:5" ht="18" customHeight="1">
      <c r="A47" s="37" t="s">
        <v>60</v>
      </c>
      <c r="B47" s="36">
        <f>B45+B46</f>
        <v>2071000000</v>
      </c>
    </row>
    <row r="50" spans="1:5" ht="15.75">
      <c r="A50" s="33" t="s">
        <v>52</v>
      </c>
      <c r="B50" s="33" t="s">
        <v>72</v>
      </c>
    </row>
    <row r="51" spans="1:5" ht="19.5" customHeight="1">
      <c r="A51" s="32" t="s">
        <v>0</v>
      </c>
      <c r="B51" s="32">
        <v>23862210</v>
      </c>
    </row>
    <row r="52" spans="1:5" ht="19.5" customHeight="1">
      <c r="A52" s="32" t="s">
        <v>77</v>
      </c>
      <c r="B52" s="32">
        <v>8160160</v>
      </c>
    </row>
    <row r="53" spans="1:5" s="14" customFormat="1" ht="19.5" customHeight="1">
      <c r="A53" s="49" t="s">
        <v>90</v>
      </c>
      <c r="B53" s="49">
        <v>1682460</v>
      </c>
      <c r="D53" s="7"/>
      <c r="E53" s="7"/>
    </row>
    <row r="54" spans="1:5" s="14" customFormat="1" ht="19.5" customHeight="1">
      <c r="A54" s="56" t="s">
        <v>84</v>
      </c>
      <c r="B54" s="56">
        <v>8596790</v>
      </c>
      <c r="D54" s="7"/>
      <c r="E54" s="7"/>
    </row>
    <row r="55" spans="1:5" s="14" customFormat="1" ht="19.5" customHeight="1">
      <c r="A55" s="56" t="s">
        <v>85</v>
      </c>
      <c r="B55" s="56">
        <v>8948420</v>
      </c>
      <c r="D55" s="7"/>
      <c r="E55" s="7"/>
    </row>
    <row r="56" spans="1:5" s="14" customFormat="1" ht="19.5" customHeight="1">
      <c r="A56" s="56" t="s">
        <v>104</v>
      </c>
      <c r="B56" s="56">
        <v>12998830</v>
      </c>
      <c r="D56" s="7"/>
      <c r="E56" s="7"/>
    </row>
    <row r="57" spans="1:5" s="14" customFormat="1" ht="19.5" customHeight="1">
      <c r="A57" s="56" t="s">
        <v>100</v>
      </c>
      <c r="B57" s="56">
        <v>670000</v>
      </c>
      <c r="D57" s="7"/>
      <c r="E57" s="7"/>
    </row>
    <row r="58" spans="1:5" s="14" customFormat="1" ht="19.5" customHeight="1">
      <c r="A58" s="56" t="s">
        <v>79</v>
      </c>
      <c r="B58" s="56">
        <v>3500000</v>
      </c>
      <c r="D58" s="7"/>
      <c r="E58" s="7"/>
    </row>
    <row r="59" spans="1:5" s="14" customFormat="1" ht="19.5" customHeight="1">
      <c r="A59" s="56" t="s">
        <v>91</v>
      </c>
      <c r="B59" s="56">
        <v>11140437</v>
      </c>
      <c r="D59" s="7"/>
      <c r="E59" s="7"/>
    </row>
    <row r="60" spans="1:5" s="14" customFormat="1" ht="19.5" customHeight="1">
      <c r="A60" s="56" t="s">
        <v>101</v>
      </c>
      <c r="B60" s="56">
        <v>21388872</v>
      </c>
      <c r="D60" s="7"/>
      <c r="E60" s="7"/>
    </row>
    <row r="61" spans="1:5" s="14" customFormat="1" ht="19.5" customHeight="1">
      <c r="A61" s="56" t="s">
        <v>106</v>
      </c>
      <c r="B61" s="56">
        <v>8739621</v>
      </c>
      <c r="D61" s="7"/>
      <c r="E61" s="7"/>
    </row>
    <row r="62" spans="1:5" s="14" customFormat="1" ht="19.5" customHeight="1">
      <c r="A62" s="56" t="s">
        <v>107</v>
      </c>
      <c r="B62" s="56">
        <v>25569142</v>
      </c>
      <c r="D62" s="7"/>
      <c r="E62" s="7"/>
    </row>
    <row r="63" spans="1:5" s="14" customFormat="1" ht="15.75">
      <c r="A63" s="37" t="s">
        <v>60</v>
      </c>
      <c r="B63" s="36">
        <f>SUM(B51:B62)</f>
        <v>135256942</v>
      </c>
      <c r="D63" s="7"/>
      <c r="E63" s="7"/>
    </row>
    <row r="65" spans="1:5" s="14" customFormat="1" ht="15.75">
      <c r="A65" s="47" t="s">
        <v>75</v>
      </c>
      <c r="B65" s="38"/>
      <c r="D65" s="7"/>
      <c r="E65" s="7"/>
    </row>
    <row r="66" spans="1:5" s="14" customFormat="1">
      <c r="A66" s="23"/>
      <c r="B66" s="7"/>
      <c r="D66" s="7"/>
      <c r="E66" s="7"/>
    </row>
    <row r="67" spans="1:5" s="14" customFormat="1">
      <c r="A67" s="23"/>
      <c r="B67" s="7"/>
      <c r="D67" s="7"/>
      <c r="E67" s="7"/>
    </row>
    <row r="68" spans="1:5" s="14" customFormat="1">
      <c r="A68" s="23"/>
      <c r="B68" s="7"/>
      <c r="D68" s="7"/>
      <c r="E68" s="7"/>
    </row>
    <row r="69" spans="1:5" s="14" customFormat="1" ht="15.75">
      <c r="A69" s="48" t="s">
        <v>76</v>
      </c>
      <c r="B69" s="7"/>
      <c r="D69" s="7"/>
      <c r="E69" s="7"/>
    </row>
  </sheetData>
  <mergeCells count="2">
    <mergeCell ref="A1:D1"/>
    <mergeCell ref="B42:D42"/>
  </mergeCells>
  <pageMargins left="0.86" right="0.14000000000000001" top="0.17" bottom="0.09" header="0.16" footer="0.09"/>
  <pageSetup scale="70" orientation="portrait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FFFF"/>
  </sheetPr>
  <dimension ref="A1:E69"/>
  <sheetViews>
    <sheetView workbookViewId="0">
      <selection activeCell="B45" sqref="B45"/>
    </sheetView>
  </sheetViews>
  <sheetFormatPr defaultRowHeight="12.75"/>
  <cols>
    <col min="1" max="1" width="44.85546875" style="7" customWidth="1"/>
    <col min="2" max="2" width="17.85546875" style="7" customWidth="1"/>
    <col min="3" max="3" width="39.5703125" style="14" customWidth="1"/>
    <col min="4" max="4" width="21.140625" style="7" customWidth="1"/>
    <col min="5" max="16384" width="9.140625" style="7"/>
  </cols>
  <sheetData>
    <row r="1" spans="1:5" ht="31.5" customHeight="1">
      <c r="A1" s="122" t="s">
        <v>169</v>
      </c>
      <c r="B1" s="122"/>
      <c r="C1" s="122"/>
      <c r="D1" s="122"/>
      <c r="E1" s="2"/>
    </row>
    <row r="2" spans="1:5" ht="13.5" customHeight="1">
      <c r="A2" s="71"/>
      <c r="B2" s="71"/>
      <c r="C2" s="71"/>
      <c r="D2" s="71"/>
      <c r="E2" s="2"/>
    </row>
    <row r="3" spans="1:5" ht="15.75">
      <c r="A3" s="11" t="s">
        <v>7</v>
      </c>
      <c r="B3" s="11" t="s">
        <v>65</v>
      </c>
      <c r="C3" s="11" t="s">
        <v>7</v>
      </c>
      <c r="D3" s="11" t="s">
        <v>65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20</v>
      </c>
      <c r="B5" s="25">
        <f>B6+B21+B22</f>
        <v>714603506</v>
      </c>
      <c r="C5" s="24" t="s">
        <v>69</v>
      </c>
      <c r="D5" s="25">
        <f>D6+D9+D17+D25+D33+D34+D37</f>
        <v>329169962</v>
      </c>
      <c r="E5" s="2"/>
    </row>
    <row r="6" spans="1:5" s="10" customFormat="1" ht="15.75">
      <c r="A6" s="19" t="s">
        <v>10</v>
      </c>
      <c r="B6" s="26">
        <f>B7+B13+B18</f>
        <v>714454276</v>
      </c>
      <c r="C6" s="19" t="s">
        <v>2</v>
      </c>
      <c r="D6" s="19">
        <f>SUM(D7:D8)</f>
        <v>20223371</v>
      </c>
      <c r="E6" s="9"/>
    </row>
    <row r="7" spans="1:5" s="16" customFormat="1" ht="15.75">
      <c r="A7" s="27" t="s">
        <v>8</v>
      </c>
      <c r="B7" s="27">
        <f>SUM(B8:B12)</f>
        <v>212379805</v>
      </c>
      <c r="C7" s="17" t="s">
        <v>6</v>
      </c>
      <c r="D7" s="51"/>
      <c r="E7" s="15"/>
    </row>
    <row r="8" spans="1:5" ht="14.25">
      <c r="A8" s="17" t="s">
        <v>48</v>
      </c>
      <c r="B8" s="49">
        <v>183985020</v>
      </c>
      <c r="C8" s="17" t="s">
        <v>29</v>
      </c>
      <c r="D8" s="51">
        <v>20223371</v>
      </c>
      <c r="E8" s="2"/>
    </row>
    <row r="9" spans="1:5" ht="15.75">
      <c r="A9" s="17" t="s">
        <v>49</v>
      </c>
      <c r="B9" s="49">
        <v>25574785</v>
      </c>
      <c r="C9" s="19" t="s">
        <v>66</v>
      </c>
      <c r="D9" s="28">
        <f>SUM(D10:D16)</f>
        <v>24013394</v>
      </c>
      <c r="E9" s="2"/>
    </row>
    <row r="10" spans="1:5" ht="14.25">
      <c r="A10" s="17" t="s">
        <v>50</v>
      </c>
      <c r="B10" s="49">
        <v>1320000</v>
      </c>
      <c r="C10" s="17" t="s">
        <v>11</v>
      </c>
      <c r="D10" s="64">
        <v>20320728</v>
      </c>
      <c r="E10" s="2"/>
    </row>
    <row r="11" spans="1:5" ht="14.25">
      <c r="A11" s="49" t="s">
        <v>51</v>
      </c>
      <c r="B11" s="49">
        <v>1500000</v>
      </c>
      <c r="C11" s="17" t="s">
        <v>12</v>
      </c>
      <c r="D11" s="64"/>
      <c r="E11" s="2"/>
    </row>
    <row r="12" spans="1:5" ht="14.25">
      <c r="A12" s="49" t="s">
        <v>112</v>
      </c>
      <c r="B12" s="49"/>
      <c r="C12" s="17" t="s">
        <v>13</v>
      </c>
      <c r="D12" s="64">
        <v>987666</v>
      </c>
      <c r="E12" s="2"/>
    </row>
    <row r="13" spans="1:5" s="16" customFormat="1" ht="15.75">
      <c r="A13" s="27" t="s">
        <v>9</v>
      </c>
      <c r="B13" s="27">
        <f>SUM(B14:B17)</f>
        <v>498574471</v>
      </c>
      <c r="C13" s="17" t="s">
        <v>26</v>
      </c>
      <c r="D13" s="64">
        <v>1745000</v>
      </c>
      <c r="E13" s="15"/>
    </row>
    <row r="14" spans="1:5" ht="14.25">
      <c r="A14" s="17" t="s">
        <v>48</v>
      </c>
      <c r="B14" s="17">
        <v>398845076</v>
      </c>
      <c r="C14" s="17" t="s">
        <v>44</v>
      </c>
      <c r="D14" s="65"/>
      <c r="E14" s="2"/>
    </row>
    <row r="15" spans="1:5" ht="14.25">
      <c r="A15" s="17" t="s">
        <v>49</v>
      </c>
      <c r="B15" s="17">
        <v>87743660</v>
      </c>
      <c r="C15" s="17" t="s">
        <v>25</v>
      </c>
      <c r="D15" s="64"/>
      <c r="E15" s="2"/>
    </row>
    <row r="16" spans="1:5" ht="14.25">
      <c r="A16" s="17" t="s">
        <v>51</v>
      </c>
      <c r="B16" s="17">
        <v>11985735</v>
      </c>
      <c r="C16" s="17" t="s">
        <v>14</v>
      </c>
      <c r="D16" s="64">
        <v>960000</v>
      </c>
      <c r="E16" s="2"/>
    </row>
    <row r="17" spans="1:5" ht="15.75">
      <c r="A17" s="49" t="s">
        <v>112</v>
      </c>
      <c r="B17" s="49"/>
      <c r="C17" s="19" t="s">
        <v>67</v>
      </c>
      <c r="D17" s="26">
        <f t="shared" ref="D17" si="0">SUM(D18:D24)</f>
        <v>98699926</v>
      </c>
      <c r="E17" s="2"/>
    </row>
    <row r="18" spans="1:5" ht="15.75">
      <c r="A18" s="27" t="s">
        <v>61</v>
      </c>
      <c r="B18" s="27">
        <f t="shared" ref="B18" si="1">SUM(B19:B20)</f>
        <v>3500000</v>
      </c>
      <c r="C18" s="17" t="s">
        <v>11</v>
      </c>
      <c r="D18" s="64">
        <v>66626396</v>
      </c>
      <c r="E18" s="2"/>
    </row>
    <row r="19" spans="1:5" ht="14.25">
      <c r="A19" s="17" t="s">
        <v>62</v>
      </c>
      <c r="B19" s="65">
        <v>3500000</v>
      </c>
      <c r="C19" s="17" t="s">
        <v>12</v>
      </c>
      <c r="D19" s="64"/>
      <c r="E19" s="2"/>
    </row>
    <row r="20" spans="1:5" ht="14.25">
      <c r="A20" s="17" t="s">
        <v>63</v>
      </c>
      <c r="B20" s="17"/>
      <c r="C20" s="17" t="s">
        <v>13</v>
      </c>
      <c r="D20" s="64">
        <v>998530</v>
      </c>
      <c r="E20" s="2"/>
    </row>
    <row r="21" spans="1:5" s="10" customFormat="1" ht="17.25" customHeight="1">
      <c r="A21" s="19" t="s">
        <v>18</v>
      </c>
      <c r="B21" s="62">
        <v>23230</v>
      </c>
      <c r="C21" s="17" t="s">
        <v>26</v>
      </c>
      <c r="D21" s="64">
        <v>2485000</v>
      </c>
      <c r="E21" s="9"/>
    </row>
    <row r="22" spans="1:5" s="10" customFormat="1" ht="15.75">
      <c r="A22" s="19" t="s">
        <v>19</v>
      </c>
      <c r="B22" s="26">
        <f>SUM(B23:B24)</f>
        <v>126000</v>
      </c>
      <c r="C22" s="17" t="s">
        <v>44</v>
      </c>
      <c r="D22" s="65"/>
      <c r="E22" s="9"/>
    </row>
    <row r="23" spans="1:5" ht="14.25">
      <c r="A23" s="17" t="s">
        <v>21</v>
      </c>
      <c r="B23" s="64">
        <f>126000</f>
        <v>126000</v>
      </c>
      <c r="C23" s="17" t="s">
        <v>25</v>
      </c>
      <c r="D23" s="64"/>
      <c r="E23" s="2"/>
    </row>
    <row r="24" spans="1:5" ht="14.25">
      <c r="A24" s="17" t="s">
        <v>28</v>
      </c>
      <c r="B24" s="63"/>
      <c r="C24" s="17" t="s">
        <v>14</v>
      </c>
      <c r="D24" s="64">
        <f>3340000+25250000</f>
        <v>28590000</v>
      </c>
      <c r="E24" s="2"/>
    </row>
    <row r="25" spans="1:5" ht="15.75">
      <c r="A25" s="20"/>
      <c r="B25" s="20"/>
      <c r="C25" s="19" t="s">
        <v>3</v>
      </c>
      <c r="D25" s="26">
        <f t="shared" ref="D25" si="2">SUM(D26:D32)</f>
        <v>122058946</v>
      </c>
      <c r="E25" s="2"/>
    </row>
    <row r="26" spans="1:5" s="10" customFormat="1" ht="14.25">
      <c r="A26" s="29"/>
      <c r="B26" s="29"/>
      <c r="C26" s="17" t="s">
        <v>27</v>
      </c>
      <c r="D26" s="64">
        <v>29821000</v>
      </c>
      <c r="E26" s="9"/>
    </row>
    <row r="27" spans="1:5" s="10" customFormat="1" ht="14.25">
      <c r="A27" s="29"/>
      <c r="B27" s="29"/>
      <c r="C27" s="17" t="s">
        <v>15</v>
      </c>
      <c r="D27" s="64">
        <v>132000</v>
      </c>
      <c r="E27" s="9"/>
    </row>
    <row r="28" spans="1:5" ht="14.25">
      <c r="A28" s="20"/>
      <c r="B28" s="20"/>
      <c r="C28" s="17" t="s">
        <v>16</v>
      </c>
      <c r="D28" s="64"/>
      <c r="E28" s="2"/>
    </row>
    <row r="29" spans="1:5" ht="14.25">
      <c r="A29" s="20"/>
      <c r="B29" s="20"/>
      <c r="C29" s="17" t="s">
        <v>17</v>
      </c>
      <c r="D29" s="64"/>
      <c r="E29" s="2"/>
    </row>
    <row r="30" spans="1:5" ht="14.25">
      <c r="A30" s="20"/>
      <c r="B30" s="20"/>
      <c r="C30" s="17" t="s">
        <v>45</v>
      </c>
      <c r="D30" s="64">
        <v>90268674</v>
      </c>
      <c r="E30" s="2"/>
    </row>
    <row r="31" spans="1:5" ht="14.25">
      <c r="A31" s="20"/>
      <c r="B31" s="20"/>
      <c r="C31" s="17" t="s">
        <v>26</v>
      </c>
      <c r="D31" s="64"/>
      <c r="E31" s="2"/>
    </row>
    <row r="32" spans="1:5" ht="14.25">
      <c r="A32" s="20"/>
      <c r="B32" s="20"/>
      <c r="C32" s="17" t="s">
        <v>14</v>
      </c>
      <c r="D32" s="64">
        <v>1837272</v>
      </c>
      <c r="E32" s="2"/>
    </row>
    <row r="33" spans="1:5" ht="15.75">
      <c r="A33" s="20"/>
      <c r="B33" s="20"/>
      <c r="C33" s="19" t="s">
        <v>4</v>
      </c>
      <c r="D33" s="73">
        <v>51123527</v>
      </c>
      <c r="E33" s="2"/>
    </row>
    <row r="34" spans="1:5" ht="15.75">
      <c r="A34" s="20"/>
      <c r="B34" s="20"/>
      <c r="C34" s="19" t="s">
        <v>5</v>
      </c>
      <c r="D34" s="19">
        <f t="shared" ref="D34" si="3">SUM(D35:D36)</f>
        <v>1980000</v>
      </c>
      <c r="E34" s="2"/>
    </row>
    <row r="35" spans="1:5" s="10" customFormat="1" ht="14.25">
      <c r="A35" s="29"/>
      <c r="B35" s="29"/>
      <c r="C35" s="17" t="s">
        <v>36</v>
      </c>
      <c r="D35" s="65">
        <v>1980000</v>
      </c>
      <c r="E35" s="9"/>
    </row>
    <row r="36" spans="1:5" ht="14.25">
      <c r="A36" s="20"/>
      <c r="B36" s="20"/>
      <c r="C36" s="17" t="s">
        <v>64</v>
      </c>
      <c r="D36" s="65"/>
      <c r="E36" s="2"/>
    </row>
    <row r="37" spans="1:5" ht="15.75">
      <c r="A37" s="20"/>
      <c r="B37" s="20"/>
      <c r="C37" s="19" t="s">
        <v>68</v>
      </c>
      <c r="D37" s="26">
        <f>SUM(D38:D41)</f>
        <v>11070798</v>
      </c>
      <c r="E37" s="2"/>
    </row>
    <row r="38" spans="1:5" ht="14.25">
      <c r="A38" s="20"/>
      <c r="B38" s="20"/>
      <c r="C38" s="17" t="s">
        <v>22</v>
      </c>
      <c r="D38" s="64">
        <v>305798</v>
      </c>
      <c r="E38" s="2"/>
    </row>
    <row r="39" spans="1:5" ht="14.25">
      <c r="A39" s="20"/>
      <c r="B39" s="20"/>
      <c r="C39" s="17" t="s">
        <v>23</v>
      </c>
      <c r="D39" s="64">
        <v>10765000</v>
      </c>
      <c r="E39" s="2"/>
    </row>
    <row r="40" spans="1:5" ht="14.25">
      <c r="A40" s="20"/>
      <c r="B40" s="20"/>
      <c r="C40" s="17" t="s">
        <v>24</v>
      </c>
      <c r="D40" s="64"/>
      <c r="E40" s="2"/>
    </row>
    <row r="41" spans="1:5" ht="14.25">
      <c r="A41" s="20"/>
      <c r="B41" s="20"/>
      <c r="C41" s="17" t="s">
        <v>43</v>
      </c>
      <c r="D41" s="65"/>
      <c r="E41" s="2"/>
    </row>
    <row r="42" spans="1:5" s="6" customFormat="1" ht="17.25">
      <c r="A42" s="31" t="s">
        <v>70</v>
      </c>
      <c r="B42" s="123">
        <f>B5-D5</f>
        <v>385433544</v>
      </c>
      <c r="C42" s="123"/>
      <c r="D42" s="123"/>
      <c r="E42" s="21"/>
    </row>
    <row r="44" spans="1:5" ht="15.75">
      <c r="A44" s="33" t="s">
        <v>71</v>
      </c>
      <c r="B44" s="33" t="s">
        <v>72</v>
      </c>
    </row>
    <row r="45" spans="1:5" ht="16.5" customHeight="1">
      <c r="A45" s="35" t="s">
        <v>56</v>
      </c>
      <c r="B45" s="35">
        <v>750000000</v>
      </c>
    </row>
    <row r="46" spans="1:5" ht="16.5" customHeight="1">
      <c r="A46" s="17" t="s">
        <v>57</v>
      </c>
      <c r="B46" s="17">
        <v>2081000000</v>
      </c>
    </row>
    <row r="47" spans="1:5" ht="18" customHeight="1">
      <c r="A47" s="37" t="s">
        <v>60</v>
      </c>
      <c r="B47" s="36">
        <f>B45+B46</f>
        <v>2831000000</v>
      </c>
    </row>
    <row r="50" spans="1:5" ht="15.75">
      <c r="A50" s="33" t="s">
        <v>52</v>
      </c>
      <c r="B50" s="33" t="s">
        <v>72</v>
      </c>
    </row>
    <row r="51" spans="1:5" ht="19.5" customHeight="1">
      <c r="A51" s="32" t="s">
        <v>0</v>
      </c>
      <c r="B51" s="32"/>
    </row>
    <row r="52" spans="1:5" ht="19.5" customHeight="1">
      <c r="A52" s="32" t="s">
        <v>77</v>
      </c>
      <c r="B52" s="32"/>
    </row>
    <row r="53" spans="1:5" s="14" customFormat="1" ht="19.5" customHeight="1">
      <c r="A53" s="49" t="s">
        <v>90</v>
      </c>
      <c r="B53" s="49"/>
      <c r="D53" s="7"/>
      <c r="E53" s="7"/>
    </row>
    <row r="54" spans="1:5" s="14" customFormat="1" ht="19.5" customHeight="1">
      <c r="A54" s="56" t="s">
        <v>84</v>
      </c>
      <c r="B54" s="56"/>
      <c r="D54" s="7"/>
      <c r="E54" s="7"/>
    </row>
    <row r="55" spans="1:5" s="14" customFormat="1" ht="19.5" customHeight="1">
      <c r="A55" s="56" t="s">
        <v>85</v>
      </c>
      <c r="B55" s="56"/>
      <c r="D55" s="7"/>
      <c r="E55" s="7"/>
    </row>
    <row r="56" spans="1:5" s="14" customFormat="1" ht="19.5" customHeight="1">
      <c r="A56" s="56" t="s">
        <v>104</v>
      </c>
      <c r="B56" s="56"/>
      <c r="D56" s="7"/>
      <c r="E56" s="7"/>
    </row>
    <row r="57" spans="1:5" s="14" customFormat="1" ht="19.5" customHeight="1">
      <c r="A57" s="56" t="s">
        <v>100</v>
      </c>
      <c r="B57" s="56"/>
      <c r="D57" s="7"/>
      <c r="E57" s="7"/>
    </row>
    <row r="58" spans="1:5" s="14" customFormat="1" ht="19.5" customHeight="1">
      <c r="A58" s="56" t="s">
        <v>79</v>
      </c>
      <c r="B58" s="56"/>
      <c r="D58" s="7"/>
      <c r="E58" s="7"/>
    </row>
    <row r="59" spans="1:5" s="14" customFormat="1" ht="19.5" customHeight="1">
      <c r="A59" s="56" t="s">
        <v>91</v>
      </c>
      <c r="B59" s="56"/>
      <c r="D59" s="7"/>
      <c r="E59" s="7"/>
    </row>
    <row r="60" spans="1:5" s="14" customFormat="1" ht="19.5" customHeight="1">
      <c r="A60" s="56" t="s">
        <v>101</v>
      </c>
      <c r="B60" s="56"/>
      <c r="D60" s="7"/>
      <c r="E60" s="7"/>
    </row>
    <row r="61" spans="1:5" s="14" customFormat="1" ht="19.5" customHeight="1">
      <c r="A61" s="56" t="s">
        <v>106</v>
      </c>
      <c r="B61" s="56"/>
      <c r="D61" s="7"/>
      <c r="E61" s="7"/>
    </row>
    <row r="62" spans="1:5" s="14" customFormat="1" ht="19.5" customHeight="1">
      <c r="A62" s="56" t="s">
        <v>107</v>
      </c>
      <c r="B62" s="56"/>
      <c r="D62" s="7"/>
      <c r="E62" s="7"/>
    </row>
    <row r="63" spans="1:5" s="14" customFormat="1" ht="15.75">
      <c r="A63" s="37" t="s">
        <v>60</v>
      </c>
      <c r="B63" s="36">
        <f>SUM(B51:B62)</f>
        <v>0</v>
      </c>
      <c r="D63" s="7"/>
      <c r="E63" s="7"/>
    </row>
    <row r="65" spans="1:5" s="14" customFormat="1" ht="15.75">
      <c r="A65" s="47" t="s">
        <v>75</v>
      </c>
      <c r="B65" s="38"/>
      <c r="D65" s="7"/>
      <c r="E65" s="7"/>
    </row>
    <row r="66" spans="1:5" s="14" customFormat="1">
      <c r="A66" s="23"/>
      <c r="B66" s="7"/>
      <c r="D66" s="7"/>
      <c r="E66" s="7"/>
    </row>
    <row r="67" spans="1:5" s="14" customFormat="1">
      <c r="A67" s="23"/>
      <c r="B67" s="7"/>
      <c r="D67" s="7"/>
      <c r="E67" s="7"/>
    </row>
    <row r="68" spans="1:5" s="14" customFormat="1">
      <c r="A68" s="23"/>
      <c r="B68" s="7"/>
      <c r="D68" s="7"/>
      <c r="E68" s="7"/>
    </row>
    <row r="69" spans="1:5" s="14" customFormat="1" ht="15.75">
      <c r="A69" s="48" t="s">
        <v>76</v>
      </c>
      <c r="B69" s="7"/>
      <c r="D69" s="7"/>
      <c r="E69" s="7"/>
    </row>
  </sheetData>
  <mergeCells count="2">
    <mergeCell ref="A1:D1"/>
    <mergeCell ref="B42:D42"/>
  </mergeCells>
  <pageMargins left="0.86" right="0.14000000000000001" top="0.17" bottom="0.09" header="0.16" footer="0.09"/>
  <pageSetup scale="70" orientation="portrait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FFFF"/>
  </sheetPr>
  <dimension ref="A1:E69"/>
  <sheetViews>
    <sheetView topLeftCell="A40" workbookViewId="0">
      <selection activeCell="B45" sqref="B45"/>
    </sheetView>
  </sheetViews>
  <sheetFormatPr defaultRowHeight="12.75"/>
  <cols>
    <col min="1" max="1" width="44.85546875" style="7" customWidth="1"/>
    <col min="2" max="2" width="17.85546875" style="7" customWidth="1"/>
    <col min="3" max="3" width="39.5703125" style="14" customWidth="1"/>
    <col min="4" max="4" width="21.140625" style="7" customWidth="1"/>
    <col min="5" max="16384" width="9.140625" style="7"/>
  </cols>
  <sheetData>
    <row r="1" spans="1:5" ht="31.5" customHeight="1">
      <c r="A1" s="122" t="s">
        <v>170</v>
      </c>
      <c r="B1" s="122"/>
      <c r="C1" s="122"/>
      <c r="D1" s="122"/>
      <c r="E1" s="2"/>
    </row>
    <row r="2" spans="1:5" ht="13.5" customHeight="1">
      <c r="A2" s="71"/>
      <c r="B2" s="71"/>
      <c r="C2" s="71"/>
      <c r="D2" s="71"/>
      <c r="E2" s="2"/>
    </row>
    <row r="3" spans="1:5" ht="15.75">
      <c r="A3" s="11" t="s">
        <v>7</v>
      </c>
      <c r="B3" s="11" t="s">
        <v>65</v>
      </c>
      <c r="C3" s="11" t="s">
        <v>7</v>
      </c>
      <c r="D3" s="11" t="s">
        <v>65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20</v>
      </c>
      <c r="B5" s="25">
        <f>B6+B21+B22</f>
        <v>928534640</v>
      </c>
      <c r="C5" s="24" t="s">
        <v>69</v>
      </c>
      <c r="D5" s="25">
        <f>D6+D9+D17+D25+D33+D34+D37</f>
        <v>314582852</v>
      </c>
      <c r="E5" s="2"/>
    </row>
    <row r="6" spans="1:5" s="10" customFormat="1" ht="15.75">
      <c r="A6" s="19" t="s">
        <v>10</v>
      </c>
      <c r="B6" s="26">
        <f>B7+B13+B18</f>
        <v>927640964</v>
      </c>
      <c r="C6" s="19" t="s">
        <v>2</v>
      </c>
      <c r="D6" s="19">
        <f>SUM(D7:D8)</f>
        <v>22359240</v>
      </c>
      <c r="E6" s="9"/>
    </row>
    <row r="7" spans="1:5" s="16" customFormat="1" ht="15.75">
      <c r="A7" s="27" t="s">
        <v>8</v>
      </c>
      <c r="B7" s="27">
        <f>SUM(B8:B12)</f>
        <v>219697565</v>
      </c>
      <c r="C7" s="17" t="s">
        <v>6</v>
      </c>
      <c r="D7" s="51">
        <v>3511112</v>
      </c>
      <c r="E7" s="15"/>
    </row>
    <row r="8" spans="1:5" ht="14.25">
      <c r="A8" s="17" t="s">
        <v>48</v>
      </c>
      <c r="B8" s="49">
        <v>195728610</v>
      </c>
      <c r="C8" s="17" t="s">
        <v>29</v>
      </c>
      <c r="D8" s="51">
        <v>18848128</v>
      </c>
      <c r="E8" s="2"/>
    </row>
    <row r="9" spans="1:5" ht="15.75">
      <c r="A9" s="17" t="s">
        <v>49</v>
      </c>
      <c r="B9" s="49">
        <v>21148955</v>
      </c>
      <c r="C9" s="19" t="s">
        <v>66</v>
      </c>
      <c r="D9" s="28">
        <f>SUM(D10:D16)</f>
        <v>26602729</v>
      </c>
      <c r="E9" s="2"/>
    </row>
    <row r="10" spans="1:5" ht="14.25">
      <c r="A10" s="17" t="s">
        <v>50</v>
      </c>
      <c r="B10" s="49">
        <v>1320000</v>
      </c>
      <c r="C10" s="17" t="s">
        <v>11</v>
      </c>
      <c r="D10" s="64">
        <v>19675589</v>
      </c>
      <c r="E10" s="2"/>
    </row>
    <row r="11" spans="1:5" ht="14.25">
      <c r="A11" s="49" t="s">
        <v>51</v>
      </c>
      <c r="B11" s="49">
        <v>1500000</v>
      </c>
      <c r="C11" s="17" t="s">
        <v>12</v>
      </c>
      <c r="D11" s="64"/>
      <c r="E11" s="2"/>
    </row>
    <row r="12" spans="1:5" ht="14.25">
      <c r="A12" s="49" t="s">
        <v>112</v>
      </c>
      <c r="B12" s="49"/>
      <c r="C12" s="17" t="s">
        <v>13</v>
      </c>
      <c r="D12" s="64">
        <v>1014140</v>
      </c>
      <c r="E12" s="2"/>
    </row>
    <row r="13" spans="1:5" s="16" customFormat="1" ht="15.75">
      <c r="A13" s="27" t="s">
        <v>9</v>
      </c>
      <c r="B13" s="27">
        <f>SUM(B14:B17)</f>
        <v>707943399</v>
      </c>
      <c r="C13" s="17" t="s">
        <v>26</v>
      </c>
      <c r="D13" s="64">
        <v>3833000</v>
      </c>
      <c r="E13" s="15"/>
    </row>
    <row r="14" spans="1:5" ht="14.25">
      <c r="A14" s="17" t="s">
        <v>48</v>
      </c>
      <c r="B14" s="17">
        <v>621573505</v>
      </c>
      <c r="C14" s="17" t="s">
        <v>44</v>
      </c>
      <c r="D14" s="65"/>
      <c r="E14" s="2"/>
    </row>
    <row r="15" spans="1:5" ht="14.25">
      <c r="A15" s="17" t="s">
        <v>49</v>
      </c>
      <c r="B15" s="17">
        <v>74373509</v>
      </c>
      <c r="C15" s="17" t="s">
        <v>25</v>
      </c>
      <c r="D15" s="64"/>
      <c r="E15" s="2"/>
    </row>
    <row r="16" spans="1:5" ht="14.25">
      <c r="A16" s="17" t="s">
        <v>51</v>
      </c>
      <c r="B16" s="17">
        <v>11996385</v>
      </c>
      <c r="C16" s="17" t="s">
        <v>14</v>
      </c>
      <c r="D16" s="64">
        <v>2080000</v>
      </c>
      <c r="E16" s="2"/>
    </row>
    <row r="17" spans="1:5" ht="15.75">
      <c r="A17" s="49" t="s">
        <v>112</v>
      </c>
      <c r="B17" s="49"/>
      <c r="C17" s="19" t="s">
        <v>67</v>
      </c>
      <c r="D17" s="26">
        <f t="shared" ref="D17" si="0">SUM(D18:D24)</f>
        <v>183688530</v>
      </c>
      <c r="E17" s="2"/>
    </row>
    <row r="18" spans="1:5" ht="15.75">
      <c r="A18" s="27" t="s">
        <v>61</v>
      </c>
      <c r="B18" s="27">
        <f t="shared" ref="B18" si="1">SUM(B19:B20)</f>
        <v>0</v>
      </c>
      <c r="C18" s="17" t="s">
        <v>11</v>
      </c>
      <c r="D18" s="64">
        <v>66527907</v>
      </c>
      <c r="E18" s="2"/>
    </row>
    <row r="19" spans="1:5" ht="14.25">
      <c r="A19" s="17" t="s">
        <v>62</v>
      </c>
      <c r="B19" s="65"/>
      <c r="C19" s="17" t="s">
        <v>12</v>
      </c>
      <c r="D19" s="64">
        <v>6899425</v>
      </c>
      <c r="E19" s="2"/>
    </row>
    <row r="20" spans="1:5" ht="14.25">
      <c r="A20" s="17" t="s">
        <v>63</v>
      </c>
      <c r="B20" s="17"/>
      <c r="C20" s="17" t="s">
        <v>13</v>
      </c>
      <c r="D20" s="64">
        <v>964058</v>
      </c>
      <c r="E20" s="2"/>
    </row>
    <row r="21" spans="1:5" s="10" customFormat="1" ht="17.25" customHeight="1">
      <c r="A21" s="19" t="s">
        <v>18</v>
      </c>
      <c r="B21" s="62">
        <v>53476</v>
      </c>
      <c r="C21" s="17" t="s">
        <v>26</v>
      </c>
      <c r="D21" s="64">
        <v>79729800</v>
      </c>
      <c r="E21" s="9"/>
    </row>
    <row r="22" spans="1:5" s="10" customFormat="1" ht="15.75">
      <c r="A22" s="19" t="s">
        <v>19</v>
      </c>
      <c r="B22" s="26">
        <f>SUM(B23:B24)</f>
        <v>840200</v>
      </c>
      <c r="C22" s="17" t="s">
        <v>44</v>
      </c>
      <c r="D22" s="65"/>
      <c r="E22" s="9"/>
    </row>
    <row r="23" spans="1:5" ht="14.25">
      <c r="A23" s="17" t="s">
        <v>21</v>
      </c>
      <c r="B23" s="65">
        <v>840200</v>
      </c>
      <c r="C23" s="17" t="s">
        <v>25</v>
      </c>
      <c r="D23" s="64"/>
      <c r="E23" s="2"/>
    </row>
    <row r="24" spans="1:5" ht="14.25">
      <c r="A24" s="17" t="s">
        <v>28</v>
      </c>
      <c r="B24" s="63"/>
      <c r="C24" s="17" t="s">
        <v>14</v>
      </c>
      <c r="D24" s="64">
        <v>29567340</v>
      </c>
      <c r="E24" s="2"/>
    </row>
    <row r="25" spans="1:5" ht="15.75">
      <c r="A25" s="20"/>
      <c r="B25" s="20"/>
      <c r="C25" s="19" t="s">
        <v>3</v>
      </c>
      <c r="D25" s="26">
        <f t="shared" ref="D25" si="2">SUM(D26:D32)</f>
        <v>37208596</v>
      </c>
      <c r="E25" s="2"/>
    </row>
    <row r="26" spans="1:5" s="10" customFormat="1" ht="14.25">
      <c r="A26" s="29"/>
      <c r="B26" s="29"/>
      <c r="C26" s="17" t="s">
        <v>27</v>
      </c>
      <c r="D26" s="64">
        <v>23793000</v>
      </c>
      <c r="E26" s="9"/>
    </row>
    <row r="27" spans="1:5" s="10" customFormat="1" ht="14.25">
      <c r="A27" s="29"/>
      <c r="B27" s="29"/>
      <c r="C27" s="17" t="s">
        <v>15</v>
      </c>
      <c r="D27" s="64">
        <v>109250</v>
      </c>
      <c r="E27" s="9"/>
    </row>
    <row r="28" spans="1:5" ht="14.25">
      <c r="A28" s="20"/>
      <c r="B28" s="20"/>
      <c r="C28" s="17" t="s">
        <v>16</v>
      </c>
      <c r="D28" s="64">
        <v>12356346</v>
      </c>
      <c r="E28" s="2"/>
    </row>
    <row r="29" spans="1:5" ht="14.25">
      <c r="A29" s="20"/>
      <c r="B29" s="20"/>
      <c r="C29" s="17" t="s">
        <v>17</v>
      </c>
      <c r="D29" s="64"/>
      <c r="E29" s="2"/>
    </row>
    <row r="30" spans="1:5" ht="14.25">
      <c r="A30" s="20"/>
      <c r="B30" s="20"/>
      <c r="C30" s="17" t="s">
        <v>45</v>
      </c>
      <c r="D30" s="64"/>
      <c r="E30" s="2"/>
    </row>
    <row r="31" spans="1:5" ht="14.25">
      <c r="A31" s="20"/>
      <c r="B31" s="20"/>
      <c r="C31" s="17" t="s">
        <v>26</v>
      </c>
      <c r="D31" s="64"/>
      <c r="E31" s="2"/>
    </row>
    <row r="32" spans="1:5" ht="14.25">
      <c r="A32" s="20"/>
      <c r="B32" s="20"/>
      <c r="C32" s="17" t="s">
        <v>14</v>
      </c>
      <c r="D32" s="64">
        <f>950000</f>
        <v>950000</v>
      </c>
      <c r="E32" s="2"/>
    </row>
    <row r="33" spans="1:5" ht="15.75">
      <c r="A33" s="20"/>
      <c r="B33" s="20"/>
      <c r="C33" s="19" t="s">
        <v>4</v>
      </c>
      <c r="D33" s="73">
        <v>35637653</v>
      </c>
      <c r="E33" s="2"/>
    </row>
    <row r="34" spans="1:5" ht="15.75">
      <c r="A34" s="20"/>
      <c r="B34" s="20"/>
      <c r="C34" s="19" t="s">
        <v>5</v>
      </c>
      <c r="D34" s="19">
        <f t="shared" ref="D34" si="3">SUM(D35:D36)</f>
        <v>0</v>
      </c>
      <c r="E34" s="2"/>
    </row>
    <row r="35" spans="1:5" s="10" customFormat="1" ht="14.25">
      <c r="A35" s="29"/>
      <c r="B35" s="29"/>
      <c r="C35" s="17" t="s">
        <v>36</v>
      </c>
      <c r="D35" s="65"/>
      <c r="E35" s="9"/>
    </row>
    <row r="36" spans="1:5" ht="14.25">
      <c r="A36" s="20"/>
      <c r="B36" s="20"/>
      <c r="C36" s="17" t="s">
        <v>64</v>
      </c>
      <c r="D36" s="65"/>
      <c r="E36" s="2"/>
    </row>
    <row r="37" spans="1:5" ht="15.75">
      <c r="A37" s="20"/>
      <c r="B37" s="20"/>
      <c r="C37" s="19" t="s">
        <v>68</v>
      </c>
      <c r="D37" s="26">
        <f>SUM(D38:D41)</f>
        <v>9086104</v>
      </c>
      <c r="E37" s="2"/>
    </row>
    <row r="38" spans="1:5" ht="14.25">
      <c r="A38" s="20"/>
      <c r="B38" s="20"/>
      <c r="C38" s="17" t="s">
        <v>22</v>
      </c>
      <c r="D38" s="64">
        <v>504104</v>
      </c>
      <c r="E38" s="2"/>
    </row>
    <row r="39" spans="1:5" ht="14.25">
      <c r="A39" s="20"/>
      <c r="B39" s="20"/>
      <c r="C39" s="17" t="s">
        <v>23</v>
      </c>
      <c r="D39" s="64">
        <v>8180000</v>
      </c>
      <c r="E39" s="2"/>
    </row>
    <row r="40" spans="1:5" ht="14.25">
      <c r="A40" s="20"/>
      <c r="B40" s="20"/>
      <c r="C40" s="17" t="s">
        <v>24</v>
      </c>
      <c r="D40" s="65">
        <v>402000</v>
      </c>
      <c r="E40" s="2"/>
    </row>
    <row r="41" spans="1:5" ht="14.25">
      <c r="A41" s="20"/>
      <c r="B41" s="20"/>
      <c r="C41" s="17" t="s">
        <v>43</v>
      </c>
      <c r="D41" s="65"/>
      <c r="E41" s="2"/>
    </row>
    <row r="42" spans="1:5" s="6" customFormat="1" ht="17.25">
      <c r="A42" s="31" t="s">
        <v>70</v>
      </c>
      <c r="B42" s="123">
        <f>B5-D5</f>
        <v>613951788</v>
      </c>
      <c r="C42" s="123"/>
      <c r="D42" s="123"/>
      <c r="E42" s="21"/>
    </row>
    <row r="44" spans="1:5" ht="15.75">
      <c r="A44" s="33" t="s">
        <v>71</v>
      </c>
      <c r="B44" s="33" t="s">
        <v>72</v>
      </c>
    </row>
    <row r="45" spans="1:5" ht="16.5" customHeight="1">
      <c r="A45" s="35" t="s">
        <v>56</v>
      </c>
      <c r="B45" s="35">
        <v>750000000</v>
      </c>
    </row>
    <row r="46" spans="1:5" ht="16.5" customHeight="1">
      <c r="A46" s="17" t="s">
        <v>57</v>
      </c>
      <c r="B46" s="17">
        <v>1906000000</v>
      </c>
    </row>
    <row r="47" spans="1:5" ht="18" customHeight="1">
      <c r="A47" s="37" t="s">
        <v>60</v>
      </c>
      <c r="B47" s="36">
        <f>B45+B46</f>
        <v>2656000000</v>
      </c>
    </row>
    <row r="50" spans="1:5" ht="15.75">
      <c r="A50" s="33" t="s">
        <v>52</v>
      </c>
      <c r="B50" s="33" t="s">
        <v>72</v>
      </c>
    </row>
    <row r="51" spans="1:5" ht="19.5" customHeight="1">
      <c r="A51" s="32" t="s">
        <v>0</v>
      </c>
      <c r="B51" s="32"/>
    </row>
    <row r="52" spans="1:5" ht="19.5" customHeight="1">
      <c r="A52" s="32" t="s">
        <v>77</v>
      </c>
      <c r="B52" s="32"/>
    </row>
    <row r="53" spans="1:5" s="14" customFormat="1" ht="19.5" customHeight="1">
      <c r="A53" s="49" t="s">
        <v>90</v>
      </c>
      <c r="B53" s="49"/>
      <c r="D53" s="7"/>
      <c r="E53" s="7"/>
    </row>
    <row r="54" spans="1:5" s="14" customFormat="1" ht="19.5" customHeight="1">
      <c r="A54" s="56" t="s">
        <v>84</v>
      </c>
      <c r="B54" s="56"/>
      <c r="D54" s="7"/>
      <c r="E54" s="7"/>
    </row>
    <row r="55" spans="1:5" s="14" customFormat="1" ht="19.5" customHeight="1">
      <c r="A55" s="56" t="s">
        <v>85</v>
      </c>
      <c r="B55" s="56"/>
      <c r="D55" s="7"/>
      <c r="E55" s="7"/>
    </row>
    <row r="56" spans="1:5" s="14" customFormat="1" ht="19.5" customHeight="1">
      <c r="A56" s="56" t="s">
        <v>104</v>
      </c>
      <c r="B56" s="56"/>
      <c r="D56" s="7"/>
      <c r="E56" s="7"/>
    </row>
    <row r="57" spans="1:5" s="14" customFormat="1" ht="19.5" customHeight="1">
      <c r="A57" s="56" t="s">
        <v>100</v>
      </c>
      <c r="B57" s="56"/>
      <c r="D57" s="7"/>
      <c r="E57" s="7"/>
    </row>
    <row r="58" spans="1:5" s="14" customFormat="1" ht="19.5" customHeight="1">
      <c r="A58" s="56" t="s">
        <v>79</v>
      </c>
      <c r="B58" s="56"/>
      <c r="D58" s="7"/>
      <c r="E58" s="7"/>
    </row>
    <row r="59" spans="1:5" s="14" customFormat="1" ht="19.5" customHeight="1">
      <c r="A59" s="56" t="s">
        <v>91</v>
      </c>
      <c r="B59" s="56"/>
      <c r="D59" s="7"/>
      <c r="E59" s="7"/>
    </row>
    <row r="60" spans="1:5" s="14" customFormat="1" ht="19.5" customHeight="1">
      <c r="A60" s="56" t="s">
        <v>101</v>
      </c>
      <c r="B60" s="56"/>
      <c r="D60" s="7"/>
      <c r="E60" s="7"/>
    </row>
    <row r="61" spans="1:5" s="14" customFormat="1" ht="19.5" customHeight="1">
      <c r="A61" s="56" t="s">
        <v>106</v>
      </c>
      <c r="B61" s="56"/>
      <c r="D61" s="7"/>
      <c r="E61" s="7"/>
    </row>
    <row r="62" spans="1:5" s="14" customFormat="1" ht="19.5" customHeight="1">
      <c r="A62" s="56" t="s">
        <v>107</v>
      </c>
      <c r="B62" s="56"/>
      <c r="D62" s="7"/>
      <c r="E62" s="7"/>
    </row>
    <row r="63" spans="1:5" s="14" customFormat="1" ht="15.75">
      <c r="A63" s="37" t="s">
        <v>60</v>
      </c>
      <c r="B63" s="36">
        <f>SUM(B51:B62)</f>
        <v>0</v>
      </c>
      <c r="D63" s="7"/>
      <c r="E63" s="7"/>
    </row>
    <row r="65" spans="1:5" s="14" customFormat="1" ht="15.75">
      <c r="A65" s="47" t="s">
        <v>75</v>
      </c>
      <c r="B65" s="38"/>
      <c r="D65" s="7"/>
      <c r="E65" s="7"/>
    </row>
    <row r="66" spans="1:5" s="14" customFormat="1">
      <c r="A66" s="23"/>
      <c r="B66" s="7"/>
      <c r="D66" s="7"/>
      <c r="E66" s="7"/>
    </row>
    <row r="67" spans="1:5" s="14" customFormat="1">
      <c r="A67" s="23"/>
      <c r="B67" s="7"/>
      <c r="D67" s="7"/>
      <c r="E67" s="7"/>
    </row>
    <row r="68" spans="1:5" s="14" customFormat="1">
      <c r="A68" s="23"/>
      <c r="B68" s="7"/>
      <c r="D68" s="7"/>
      <c r="E68" s="7"/>
    </row>
    <row r="69" spans="1:5" s="14" customFormat="1" ht="15.75">
      <c r="A69" s="48" t="s">
        <v>76</v>
      </c>
      <c r="B69" s="7"/>
      <c r="D69" s="7"/>
      <c r="E69" s="7"/>
    </row>
  </sheetData>
  <mergeCells count="2">
    <mergeCell ref="A1:D1"/>
    <mergeCell ref="B42:D42"/>
  </mergeCells>
  <pageMargins left="0.86" right="0.14000000000000001" top="0.17" bottom="0.09" header="0.16" footer="0.09"/>
  <pageSetup scale="70" orientation="portrait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FFFF"/>
  </sheetPr>
  <dimension ref="A1:E69"/>
  <sheetViews>
    <sheetView topLeftCell="A41" workbookViewId="0">
      <selection activeCell="B45" sqref="B45"/>
    </sheetView>
  </sheetViews>
  <sheetFormatPr defaultRowHeight="12.75"/>
  <cols>
    <col min="1" max="1" width="44.85546875" style="7" customWidth="1"/>
    <col min="2" max="2" width="17.85546875" style="7" customWidth="1"/>
    <col min="3" max="3" width="39.5703125" style="14" customWidth="1"/>
    <col min="4" max="4" width="21.140625" style="7" customWidth="1"/>
    <col min="5" max="16384" width="9.140625" style="7"/>
  </cols>
  <sheetData>
    <row r="1" spans="1:5" ht="31.5" customHeight="1">
      <c r="A1" s="122" t="s">
        <v>171</v>
      </c>
      <c r="B1" s="122"/>
      <c r="C1" s="122"/>
      <c r="D1" s="122"/>
      <c r="E1" s="2"/>
    </row>
    <row r="2" spans="1:5" ht="13.5" customHeight="1">
      <c r="A2" s="71"/>
      <c r="B2" s="71"/>
      <c r="C2" s="71"/>
      <c r="D2" s="71"/>
      <c r="E2" s="2"/>
    </row>
    <row r="3" spans="1:5" ht="15.75">
      <c r="A3" s="11" t="s">
        <v>7</v>
      </c>
      <c r="B3" s="11" t="s">
        <v>65</v>
      </c>
      <c r="C3" s="11" t="s">
        <v>7</v>
      </c>
      <c r="D3" s="11" t="s">
        <v>65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20</v>
      </c>
      <c r="B5" s="25">
        <f>B6+B21+B22</f>
        <v>838623848</v>
      </c>
      <c r="C5" s="24" t="s">
        <v>69</v>
      </c>
      <c r="D5" s="25">
        <f>D6+D9+D17+D25+D33+D34+D37</f>
        <v>366257942</v>
      </c>
      <c r="E5" s="2"/>
    </row>
    <row r="6" spans="1:5" s="10" customFormat="1" ht="15.75">
      <c r="A6" s="19" t="s">
        <v>10</v>
      </c>
      <c r="B6" s="26">
        <f>B7+B13+B18</f>
        <v>838422423</v>
      </c>
      <c r="C6" s="19" t="s">
        <v>2</v>
      </c>
      <c r="D6" s="19">
        <f>SUM(D7:D8)</f>
        <v>22643693</v>
      </c>
      <c r="E6" s="9"/>
    </row>
    <row r="7" spans="1:5" s="16" customFormat="1" ht="15.75">
      <c r="A7" s="27" t="s">
        <v>8</v>
      </c>
      <c r="B7" s="27">
        <f>SUM(B8:B12)</f>
        <v>215645725</v>
      </c>
      <c r="C7" s="17" t="s">
        <v>6</v>
      </c>
      <c r="D7" s="51">
        <v>5166667</v>
      </c>
      <c r="E7" s="15"/>
    </row>
    <row r="8" spans="1:5" ht="14.25">
      <c r="A8" s="17" t="s">
        <v>48</v>
      </c>
      <c r="B8" s="49">
        <v>176916425</v>
      </c>
      <c r="C8" s="17" t="s">
        <v>29</v>
      </c>
      <c r="D8" s="51">
        <v>17477026</v>
      </c>
      <c r="E8" s="2"/>
    </row>
    <row r="9" spans="1:5" ht="15.75">
      <c r="A9" s="17" t="s">
        <v>49</v>
      </c>
      <c r="B9" s="49">
        <v>23683860</v>
      </c>
      <c r="C9" s="19" t="s">
        <v>66</v>
      </c>
      <c r="D9" s="28">
        <f>SUM(D10:D16)</f>
        <v>37443042</v>
      </c>
      <c r="E9" s="2"/>
    </row>
    <row r="10" spans="1:5" ht="14.25">
      <c r="A10" s="17" t="s">
        <v>50</v>
      </c>
      <c r="B10" s="49">
        <v>1320000</v>
      </c>
      <c r="C10" s="17" t="s">
        <v>11</v>
      </c>
      <c r="D10" s="64">
        <v>22262172</v>
      </c>
      <c r="E10" s="2"/>
    </row>
    <row r="11" spans="1:5" ht="14.25">
      <c r="A11" s="49" t="s">
        <v>51</v>
      </c>
      <c r="B11" s="49">
        <v>1500000</v>
      </c>
      <c r="C11" s="17" t="s">
        <v>12</v>
      </c>
      <c r="D11" s="64">
        <v>1555490</v>
      </c>
      <c r="E11" s="2"/>
    </row>
    <row r="12" spans="1:5" ht="14.25">
      <c r="A12" s="49" t="s">
        <v>112</v>
      </c>
      <c r="B12" s="49">
        <v>12225440</v>
      </c>
      <c r="C12" s="17" t="s">
        <v>13</v>
      </c>
      <c r="D12" s="110">
        <v>990380</v>
      </c>
      <c r="E12" s="2"/>
    </row>
    <row r="13" spans="1:5" s="16" customFormat="1" ht="15.75">
      <c r="A13" s="27" t="s">
        <v>9</v>
      </c>
      <c r="B13" s="27">
        <f>SUM(B14:B17)</f>
        <v>622776698</v>
      </c>
      <c r="C13" s="17" t="s">
        <v>26</v>
      </c>
      <c r="D13" s="64"/>
      <c r="E13" s="15"/>
    </row>
    <row r="14" spans="1:5" ht="14.25">
      <c r="A14" s="17" t="s">
        <v>48</v>
      </c>
      <c r="B14" s="17">
        <v>522946137</v>
      </c>
      <c r="C14" s="17" t="s">
        <v>44</v>
      </c>
      <c r="D14" s="64"/>
      <c r="E14" s="2"/>
    </row>
    <row r="15" spans="1:5" ht="14.25">
      <c r="A15" s="17" t="s">
        <v>49</v>
      </c>
      <c r="B15" s="17">
        <v>88347206</v>
      </c>
      <c r="C15" s="17" t="s">
        <v>25</v>
      </c>
      <c r="D15" s="64"/>
      <c r="E15" s="2"/>
    </row>
    <row r="16" spans="1:5" ht="14.25">
      <c r="A16" s="17" t="s">
        <v>51</v>
      </c>
      <c r="B16" s="17">
        <v>11483355</v>
      </c>
      <c r="C16" s="17" t="s">
        <v>14</v>
      </c>
      <c r="D16" s="64">
        <v>12635000</v>
      </c>
      <c r="E16" s="2"/>
    </row>
    <row r="17" spans="1:5" ht="15.75">
      <c r="A17" s="49" t="s">
        <v>112</v>
      </c>
      <c r="B17" s="49"/>
      <c r="C17" s="19" t="s">
        <v>67</v>
      </c>
      <c r="D17" s="26">
        <f t="shared" ref="D17" si="0">SUM(D18:D24)</f>
        <v>210647006</v>
      </c>
      <c r="E17" s="2"/>
    </row>
    <row r="18" spans="1:5" ht="15.75">
      <c r="A18" s="27" t="s">
        <v>61</v>
      </c>
      <c r="B18" s="27">
        <f t="shared" ref="B18" si="1">SUM(B19:B20)</f>
        <v>0</v>
      </c>
      <c r="C18" s="17" t="s">
        <v>11</v>
      </c>
      <c r="D18" s="64">
        <v>71071439</v>
      </c>
      <c r="E18" s="2"/>
    </row>
    <row r="19" spans="1:5" ht="14.25">
      <c r="A19" s="17" t="s">
        <v>62</v>
      </c>
      <c r="B19" s="65"/>
      <c r="C19" s="17" t="s">
        <v>12</v>
      </c>
      <c r="D19" s="64"/>
      <c r="E19" s="2"/>
    </row>
    <row r="20" spans="1:5" ht="14.25">
      <c r="A20" s="17" t="s">
        <v>63</v>
      </c>
      <c r="B20" s="17"/>
      <c r="C20" s="17" t="s">
        <v>13</v>
      </c>
      <c r="D20" s="64">
        <v>991033</v>
      </c>
      <c r="E20" s="2"/>
    </row>
    <row r="21" spans="1:5" s="10" customFormat="1" ht="17.25" customHeight="1">
      <c r="A21" s="19" t="s">
        <v>18</v>
      </c>
      <c r="B21" s="62">
        <v>76425</v>
      </c>
      <c r="C21" s="17" t="s">
        <v>26</v>
      </c>
      <c r="D21" s="64">
        <v>86006900</v>
      </c>
      <c r="E21" s="9"/>
    </row>
    <row r="22" spans="1:5" s="10" customFormat="1" ht="15.75">
      <c r="A22" s="19" t="s">
        <v>19</v>
      </c>
      <c r="B22" s="26">
        <f>SUM(B23:B24)</f>
        <v>125000</v>
      </c>
      <c r="C22" s="17" t="s">
        <v>44</v>
      </c>
      <c r="D22" s="64"/>
      <c r="E22" s="9"/>
    </row>
    <row r="23" spans="1:5" ht="14.25">
      <c r="A23" s="17" t="s">
        <v>21</v>
      </c>
      <c r="B23" s="65">
        <v>125000</v>
      </c>
      <c r="C23" s="17" t="s">
        <v>25</v>
      </c>
      <c r="D23" s="64"/>
      <c r="E23" s="2"/>
    </row>
    <row r="24" spans="1:5" ht="14.25">
      <c r="A24" s="17" t="s">
        <v>28</v>
      </c>
      <c r="B24" s="63"/>
      <c r="C24" s="17" t="s">
        <v>14</v>
      </c>
      <c r="D24" s="64">
        <v>52577634</v>
      </c>
      <c r="E24" s="2"/>
    </row>
    <row r="25" spans="1:5" ht="15.75">
      <c r="A25" s="20"/>
      <c r="B25" s="20"/>
      <c r="C25" s="19" t="s">
        <v>3</v>
      </c>
      <c r="D25" s="26">
        <f t="shared" ref="D25" si="2">SUM(D26:D32)</f>
        <v>38010499</v>
      </c>
      <c r="E25" s="2"/>
    </row>
    <row r="26" spans="1:5" s="10" customFormat="1" ht="14.25">
      <c r="A26" s="29"/>
      <c r="B26" s="29"/>
      <c r="C26" s="17" t="s">
        <v>27</v>
      </c>
      <c r="D26" s="64">
        <v>8646000</v>
      </c>
      <c r="E26" s="9"/>
    </row>
    <row r="27" spans="1:5" s="10" customFormat="1" ht="14.25">
      <c r="A27" s="29"/>
      <c r="B27" s="29"/>
      <c r="C27" s="17" t="s">
        <v>15</v>
      </c>
      <c r="D27" s="64">
        <v>147694</v>
      </c>
      <c r="E27" s="9"/>
    </row>
    <row r="28" spans="1:5" ht="14.25">
      <c r="A28" s="20"/>
      <c r="B28" s="20"/>
      <c r="C28" s="17" t="s">
        <v>16</v>
      </c>
      <c r="D28" s="64">
        <v>25717404</v>
      </c>
      <c r="E28" s="2"/>
    </row>
    <row r="29" spans="1:5" ht="14.25">
      <c r="A29" s="20"/>
      <c r="B29" s="20"/>
      <c r="C29" s="17" t="s">
        <v>17</v>
      </c>
      <c r="D29" s="64"/>
      <c r="E29" s="2"/>
    </row>
    <row r="30" spans="1:5" ht="14.25">
      <c r="A30" s="20"/>
      <c r="B30" s="20"/>
      <c r="C30" s="17" t="s">
        <v>45</v>
      </c>
      <c r="D30" s="64">
        <v>2269401</v>
      </c>
      <c r="E30" s="2"/>
    </row>
    <row r="31" spans="1:5" ht="14.25">
      <c r="A31" s="20"/>
      <c r="B31" s="20"/>
      <c r="C31" s="17" t="s">
        <v>26</v>
      </c>
      <c r="D31" s="64"/>
      <c r="E31" s="2"/>
    </row>
    <row r="32" spans="1:5" ht="14.25">
      <c r="A32" s="20"/>
      <c r="B32" s="20"/>
      <c r="C32" s="17" t="s">
        <v>14</v>
      </c>
      <c r="D32" s="64">
        <f>1230000</f>
        <v>1230000</v>
      </c>
      <c r="E32" s="2"/>
    </row>
    <row r="33" spans="1:5" ht="15.75">
      <c r="A33" s="20"/>
      <c r="B33" s="20"/>
      <c r="C33" s="19" t="s">
        <v>4</v>
      </c>
      <c r="D33" s="62">
        <v>52112950</v>
      </c>
      <c r="E33" s="2"/>
    </row>
    <row r="34" spans="1:5" ht="15.75">
      <c r="A34" s="20"/>
      <c r="B34" s="20"/>
      <c r="C34" s="19" t="s">
        <v>5</v>
      </c>
      <c r="D34" s="19">
        <f t="shared" ref="D34" si="3">SUM(D35:D36)</f>
        <v>0</v>
      </c>
      <c r="E34" s="2"/>
    </row>
    <row r="35" spans="1:5" s="10" customFormat="1" ht="14.25">
      <c r="A35" s="29"/>
      <c r="B35" s="29"/>
      <c r="C35" s="17" t="s">
        <v>36</v>
      </c>
      <c r="D35" s="65"/>
      <c r="E35" s="9"/>
    </row>
    <row r="36" spans="1:5" ht="14.25">
      <c r="A36" s="20"/>
      <c r="B36" s="20"/>
      <c r="C36" s="17" t="s">
        <v>64</v>
      </c>
      <c r="D36" s="65"/>
      <c r="E36" s="2"/>
    </row>
    <row r="37" spans="1:5" ht="15.75">
      <c r="A37" s="20"/>
      <c r="B37" s="20"/>
      <c r="C37" s="19" t="s">
        <v>68</v>
      </c>
      <c r="D37" s="26">
        <f>SUM(D38:D41)</f>
        <v>5400752</v>
      </c>
      <c r="E37" s="2"/>
    </row>
    <row r="38" spans="1:5" ht="14.25">
      <c r="A38" s="20"/>
      <c r="B38" s="20"/>
      <c r="C38" s="17" t="s">
        <v>22</v>
      </c>
      <c r="D38" s="64">
        <v>5400752</v>
      </c>
      <c r="E38" s="2"/>
    </row>
    <row r="39" spans="1:5" ht="14.25">
      <c r="A39" s="20"/>
      <c r="B39" s="20"/>
      <c r="C39" s="17" t="s">
        <v>23</v>
      </c>
      <c r="D39" s="64"/>
      <c r="E39" s="2"/>
    </row>
    <row r="40" spans="1:5" ht="14.25">
      <c r="A40" s="20"/>
      <c r="B40" s="20"/>
      <c r="C40" s="17" t="s">
        <v>24</v>
      </c>
      <c r="D40" s="65"/>
      <c r="E40" s="2"/>
    </row>
    <row r="41" spans="1:5" ht="14.25">
      <c r="A41" s="20"/>
      <c r="B41" s="20"/>
      <c r="C41" s="17" t="s">
        <v>43</v>
      </c>
      <c r="D41" s="65"/>
      <c r="E41" s="2"/>
    </row>
    <row r="42" spans="1:5" s="6" customFormat="1" ht="17.25">
      <c r="A42" s="31" t="s">
        <v>70</v>
      </c>
      <c r="B42" s="123">
        <f>B5-D5</f>
        <v>472365906</v>
      </c>
      <c r="C42" s="123"/>
      <c r="D42" s="123"/>
      <c r="E42" s="21"/>
    </row>
    <row r="44" spans="1:5" ht="15.75">
      <c r="A44" s="33" t="s">
        <v>71</v>
      </c>
      <c r="B44" s="33" t="s">
        <v>72</v>
      </c>
    </row>
    <row r="45" spans="1:5" ht="16.5" customHeight="1">
      <c r="A45" s="35" t="s">
        <v>56</v>
      </c>
      <c r="B45" s="35">
        <v>750000000</v>
      </c>
    </row>
    <row r="46" spans="1:5" ht="16.5" customHeight="1">
      <c r="A46" s="17" t="s">
        <v>57</v>
      </c>
      <c r="B46" s="17">
        <v>6293000000</v>
      </c>
    </row>
    <row r="47" spans="1:5" ht="18" customHeight="1">
      <c r="A47" s="37" t="s">
        <v>60</v>
      </c>
      <c r="B47" s="36">
        <f>B45+B46</f>
        <v>7043000000</v>
      </c>
    </row>
    <row r="50" spans="1:5" ht="15.75">
      <c r="A50" s="33" t="s">
        <v>52</v>
      </c>
      <c r="B50" s="33" t="s">
        <v>72</v>
      </c>
    </row>
    <row r="51" spans="1:5" ht="19.5" customHeight="1">
      <c r="A51" s="32" t="s">
        <v>0</v>
      </c>
      <c r="B51" s="32"/>
    </row>
    <row r="52" spans="1:5" ht="19.5" customHeight="1">
      <c r="A52" s="32" t="s">
        <v>77</v>
      </c>
      <c r="B52" s="32"/>
    </row>
    <row r="53" spans="1:5" s="14" customFormat="1" ht="19.5" customHeight="1">
      <c r="A53" s="49" t="s">
        <v>90</v>
      </c>
      <c r="B53" s="49"/>
      <c r="D53" s="7"/>
      <c r="E53" s="7"/>
    </row>
    <row r="54" spans="1:5" s="14" customFormat="1" ht="19.5" customHeight="1">
      <c r="A54" s="56" t="s">
        <v>84</v>
      </c>
      <c r="B54" s="56"/>
      <c r="D54" s="7"/>
      <c r="E54" s="7"/>
    </row>
    <row r="55" spans="1:5" s="14" customFormat="1" ht="19.5" customHeight="1">
      <c r="A55" s="56" t="s">
        <v>85</v>
      </c>
      <c r="B55" s="56"/>
      <c r="D55" s="7"/>
      <c r="E55" s="7"/>
    </row>
    <row r="56" spans="1:5" s="14" customFormat="1" ht="19.5" customHeight="1">
      <c r="A56" s="56" t="s">
        <v>104</v>
      </c>
      <c r="B56" s="56"/>
      <c r="D56" s="7"/>
      <c r="E56" s="7"/>
    </row>
    <row r="57" spans="1:5" s="14" customFormat="1" ht="19.5" customHeight="1">
      <c r="A57" s="56" t="s">
        <v>100</v>
      </c>
      <c r="B57" s="56"/>
      <c r="D57" s="7"/>
      <c r="E57" s="7"/>
    </row>
    <row r="58" spans="1:5" s="14" customFormat="1" ht="19.5" customHeight="1">
      <c r="A58" s="56" t="s">
        <v>79</v>
      </c>
      <c r="B58" s="56"/>
      <c r="D58" s="7"/>
      <c r="E58" s="7"/>
    </row>
    <row r="59" spans="1:5" s="14" customFormat="1" ht="19.5" customHeight="1">
      <c r="A59" s="56" t="s">
        <v>91</v>
      </c>
      <c r="B59" s="56"/>
      <c r="D59" s="7"/>
      <c r="E59" s="7"/>
    </row>
    <row r="60" spans="1:5" s="14" customFormat="1" ht="19.5" customHeight="1">
      <c r="A60" s="56" t="s">
        <v>101</v>
      </c>
      <c r="B60" s="56"/>
      <c r="D60" s="7"/>
      <c r="E60" s="7"/>
    </row>
    <row r="61" spans="1:5" s="14" customFormat="1" ht="19.5" customHeight="1">
      <c r="A61" s="56" t="s">
        <v>106</v>
      </c>
      <c r="B61" s="56"/>
      <c r="D61" s="7"/>
      <c r="E61" s="7"/>
    </row>
    <row r="62" spans="1:5" s="14" customFormat="1" ht="19.5" customHeight="1">
      <c r="A62" s="56" t="s">
        <v>107</v>
      </c>
      <c r="B62" s="56"/>
      <c r="D62" s="7"/>
      <c r="E62" s="7"/>
    </row>
    <row r="63" spans="1:5" s="14" customFormat="1" ht="15.75">
      <c r="A63" s="37" t="s">
        <v>60</v>
      </c>
      <c r="B63" s="36">
        <f>SUM(B51:B62)</f>
        <v>0</v>
      </c>
      <c r="D63" s="7"/>
      <c r="E63" s="7"/>
    </row>
    <row r="65" spans="1:5" s="14" customFormat="1" ht="15.75">
      <c r="A65" s="47" t="s">
        <v>75</v>
      </c>
      <c r="B65" s="38"/>
      <c r="D65" s="7"/>
      <c r="E65" s="7"/>
    </row>
    <row r="66" spans="1:5" s="14" customFormat="1">
      <c r="A66" s="23"/>
      <c r="B66" s="7"/>
      <c r="D66" s="7"/>
      <c r="E66" s="7"/>
    </row>
    <row r="67" spans="1:5" s="14" customFormat="1">
      <c r="A67" s="23"/>
      <c r="B67" s="7"/>
      <c r="D67" s="7"/>
      <c r="E67" s="7"/>
    </row>
    <row r="68" spans="1:5" s="14" customFormat="1">
      <c r="A68" s="23"/>
      <c r="B68" s="7"/>
      <c r="D68" s="7"/>
      <c r="E68" s="7"/>
    </row>
    <row r="69" spans="1:5" s="14" customFormat="1" ht="15.75">
      <c r="A69" s="48" t="s">
        <v>76</v>
      </c>
      <c r="B69" s="7"/>
      <c r="D69" s="7"/>
      <c r="E69" s="7"/>
    </row>
  </sheetData>
  <mergeCells count="2">
    <mergeCell ref="A1:D1"/>
    <mergeCell ref="B42:D42"/>
  </mergeCells>
  <pageMargins left="0.86" right="0.14000000000000001" top="0.17" bottom="0.09" header="0.16" footer="0.09"/>
  <pageSetup scale="70" orientation="portrait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FFFF"/>
  </sheetPr>
  <dimension ref="A1:E64"/>
  <sheetViews>
    <sheetView topLeftCell="A40" workbookViewId="0">
      <selection activeCell="C52" sqref="C52"/>
    </sheetView>
  </sheetViews>
  <sheetFormatPr defaultRowHeight="12.75"/>
  <cols>
    <col min="1" max="1" width="44.85546875" style="7" customWidth="1"/>
    <col min="2" max="2" width="17.85546875" style="7" customWidth="1"/>
    <col min="3" max="3" width="39.5703125" style="14" customWidth="1"/>
    <col min="4" max="4" width="21.140625" style="7" customWidth="1"/>
    <col min="5" max="16384" width="9.140625" style="7"/>
  </cols>
  <sheetData>
    <row r="1" spans="1:5" ht="31.5" customHeight="1">
      <c r="A1" s="122" t="s">
        <v>172</v>
      </c>
      <c r="B1" s="122"/>
      <c r="C1" s="122"/>
      <c r="D1" s="122"/>
      <c r="E1" s="2"/>
    </row>
    <row r="2" spans="1:5" ht="13.5" customHeight="1">
      <c r="A2" s="71"/>
      <c r="B2" s="71"/>
      <c r="C2" s="71"/>
      <c r="D2" s="71"/>
      <c r="E2" s="2"/>
    </row>
    <row r="3" spans="1:5" ht="15.75">
      <c r="A3" s="11" t="s">
        <v>7</v>
      </c>
      <c r="B3" s="11" t="s">
        <v>65</v>
      </c>
      <c r="C3" s="11" t="s">
        <v>7</v>
      </c>
      <c r="D3" s="11" t="s">
        <v>65</v>
      </c>
      <c r="E3" s="2"/>
    </row>
    <row r="4" spans="1:5" ht="15.75">
      <c r="A4" s="39">
        <v>1</v>
      </c>
      <c r="B4" s="39">
        <v>2</v>
      </c>
      <c r="C4" s="39">
        <v>3</v>
      </c>
      <c r="D4" s="39">
        <v>4</v>
      </c>
      <c r="E4" s="2"/>
    </row>
    <row r="5" spans="1:5" ht="15.75">
      <c r="A5" s="24" t="s">
        <v>20</v>
      </c>
      <c r="B5" s="25">
        <f>B6+B21+B22</f>
        <v>997530657</v>
      </c>
      <c r="C5" s="24" t="s">
        <v>69</v>
      </c>
      <c r="D5" s="25">
        <f>D6+D9+D17+D25+D33+D34+D37</f>
        <v>1292997485</v>
      </c>
      <c r="E5" s="2"/>
    </row>
    <row r="6" spans="1:5" s="10" customFormat="1" ht="15.75">
      <c r="A6" s="19" t="s">
        <v>10</v>
      </c>
      <c r="B6" s="26">
        <f>B7+B13+B18</f>
        <v>993007734</v>
      </c>
      <c r="C6" s="19" t="s">
        <v>2</v>
      </c>
      <c r="D6" s="19">
        <f>SUM(D7:D8)</f>
        <v>59339047</v>
      </c>
      <c r="E6" s="9"/>
    </row>
    <row r="7" spans="1:5" s="16" customFormat="1" ht="15.75">
      <c r="A7" s="27" t="s">
        <v>8</v>
      </c>
      <c r="B7" s="27">
        <f>SUM(B8:B12)</f>
        <v>200277590</v>
      </c>
      <c r="C7" s="17" t="s">
        <v>6</v>
      </c>
      <c r="D7" s="51">
        <v>5000000</v>
      </c>
      <c r="E7" s="15"/>
    </row>
    <row r="8" spans="1:5" ht="14.25">
      <c r="A8" s="17" t="s">
        <v>48</v>
      </c>
      <c r="B8" s="49">
        <v>174032570</v>
      </c>
      <c r="C8" s="17" t="s">
        <v>29</v>
      </c>
      <c r="D8" s="51">
        <v>54339047</v>
      </c>
      <c r="E8" s="2"/>
    </row>
    <row r="9" spans="1:5" ht="15.75">
      <c r="A9" s="17" t="s">
        <v>49</v>
      </c>
      <c r="B9" s="49">
        <v>23425020</v>
      </c>
      <c r="C9" s="19" t="s">
        <v>66</v>
      </c>
      <c r="D9" s="28">
        <f>SUM(D10:D16)</f>
        <v>28061273</v>
      </c>
      <c r="E9" s="2"/>
    </row>
    <row r="10" spans="1:5" ht="14.25">
      <c r="A10" s="17" t="s">
        <v>50</v>
      </c>
      <c r="B10" s="49">
        <v>1320000</v>
      </c>
      <c r="C10" s="17" t="s">
        <v>11</v>
      </c>
      <c r="D10" s="64">
        <f>13504119+8716979</f>
        <v>22221098</v>
      </c>
      <c r="E10" s="2"/>
    </row>
    <row r="11" spans="1:5" ht="14.25">
      <c r="A11" s="49" t="s">
        <v>51</v>
      </c>
      <c r="B11" s="49">
        <v>1500000</v>
      </c>
      <c r="C11" s="17" t="s">
        <v>12</v>
      </c>
      <c r="D11" s="64">
        <f>738875+797180</f>
        <v>1536055</v>
      </c>
      <c r="E11" s="2"/>
    </row>
    <row r="12" spans="1:5" ht="14.25">
      <c r="A12" s="49" t="s">
        <v>112</v>
      </c>
      <c r="B12" s="49"/>
      <c r="C12" s="17" t="s">
        <v>13</v>
      </c>
      <c r="D12" s="64">
        <f>924000+92120</f>
        <v>1016120</v>
      </c>
      <c r="E12" s="2"/>
    </row>
    <row r="13" spans="1:5" s="16" customFormat="1" ht="15.75">
      <c r="A13" s="27" t="s">
        <v>9</v>
      </c>
      <c r="B13" s="27">
        <f>SUM(B14:B17)</f>
        <v>520846968</v>
      </c>
      <c r="C13" s="17" t="s">
        <v>26</v>
      </c>
      <c r="D13" s="64">
        <f>196000+250000</f>
        <v>446000</v>
      </c>
      <c r="E13" s="15"/>
    </row>
    <row r="14" spans="1:5" ht="14.25">
      <c r="A14" s="17" t="s">
        <v>48</v>
      </c>
      <c r="B14" s="17">
        <v>423323743</v>
      </c>
      <c r="C14" s="17" t="s">
        <v>44</v>
      </c>
      <c r="D14" s="64">
        <v>1188000</v>
      </c>
      <c r="E14" s="2"/>
    </row>
    <row r="15" spans="1:5" ht="14.25">
      <c r="A15" s="17" t="s">
        <v>49</v>
      </c>
      <c r="B15" s="17">
        <v>86838825</v>
      </c>
      <c r="C15" s="17" t="s">
        <v>25</v>
      </c>
      <c r="D15" s="64"/>
      <c r="E15" s="2"/>
    </row>
    <row r="16" spans="1:5" ht="14.25">
      <c r="A16" s="17" t="s">
        <v>51</v>
      </c>
      <c r="B16" s="17">
        <v>10684400</v>
      </c>
      <c r="C16" s="17" t="s">
        <v>14</v>
      </c>
      <c r="D16" s="64">
        <v>1654000</v>
      </c>
      <c r="E16" s="2"/>
    </row>
    <row r="17" spans="1:5" ht="15.75">
      <c r="A17" s="49" t="s">
        <v>112</v>
      </c>
      <c r="B17" s="49"/>
      <c r="C17" s="19" t="s">
        <v>67</v>
      </c>
      <c r="D17" s="26">
        <f t="shared" ref="D17" si="0">SUM(D18:D24)</f>
        <v>409516102</v>
      </c>
      <c r="E17" s="2"/>
    </row>
    <row r="18" spans="1:5" ht="15.75">
      <c r="A18" s="27" t="s">
        <v>61</v>
      </c>
      <c r="B18" s="27">
        <f t="shared" ref="B18" si="1">SUM(B19:B20)</f>
        <v>271883176</v>
      </c>
      <c r="C18" s="17" t="s">
        <v>11</v>
      </c>
      <c r="D18" s="64">
        <v>77474122</v>
      </c>
      <c r="E18" s="2"/>
    </row>
    <row r="19" spans="1:5" ht="14.25">
      <c r="A19" s="17" t="s">
        <v>62</v>
      </c>
      <c r="B19" s="65"/>
      <c r="C19" s="17" t="s">
        <v>12</v>
      </c>
      <c r="D19" s="64">
        <f>3964740+3848130</f>
        <v>7812870</v>
      </c>
      <c r="E19" s="2"/>
    </row>
    <row r="20" spans="1:5" ht="14.25">
      <c r="A20" s="17" t="s">
        <v>63</v>
      </c>
      <c r="B20" s="65">
        <v>271883176</v>
      </c>
      <c r="C20" s="17" t="s">
        <v>13</v>
      </c>
      <c r="D20" s="64">
        <f>792000+91980+22880</f>
        <v>906860</v>
      </c>
      <c r="E20" s="2"/>
    </row>
    <row r="21" spans="1:5" s="10" customFormat="1" ht="17.25" customHeight="1">
      <c r="A21" s="19" t="s">
        <v>18</v>
      </c>
      <c r="B21" s="62">
        <v>64523</v>
      </c>
      <c r="C21" s="17" t="s">
        <v>26</v>
      </c>
      <c r="D21" s="64">
        <v>292750299</v>
      </c>
      <c r="E21" s="9"/>
    </row>
    <row r="22" spans="1:5" s="10" customFormat="1" ht="15.75">
      <c r="A22" s="19" t="s">
        <v>19</v>
      </c>
      <c r="B22" s="26">
        <f>SUM(B23:B24)</f>
        <v>4458400</v>
      </c>
      <c r="C22" s="17" t="s">
        <v>44</v>
      </c>
      <c r="D22" s="64">
        <v>3564000</v>
      </c>
      <c r="E22" s="9"/>
    </row>
    <row r="23" spans="1:5" ht="14.25">
      <c r="A23" s="17" t="s">
        <v>21</v>
      </c>
      <c r="B23" s="64">
        <v>4458400</v>
      </c>
      <c r="C23" s="17" t="s">
        <v>25</v>
      </c>
      <c r="D23" s="64"/>
      <c r="E23" s="2"/>
    </row>
    <row r="24" spans="1:5" ht="14.25">
      <c r="A24" s="17" t="s">
        <v>28</v>
      </c>
      <c r="B24" s="63"/>
      <c r="C24" s="17" t="s">
        <v>14</v>
      </c>
      <c r="D24" s="64">
        <f>1200000+27951+300000+25250000+230000</f>
        <v>27007951</v>
      </c>
      <c r="E24" s="2"/>
    </row>
    <row r="25" spans="1:5" ht="15.75">
      <c r="A25" s="20"/>
      <c r="B25" s="20"/>
      <c r="C25" s="19" t="s">
        <v>3</v>
      </c>
      <c r="D25" s="26">
        <f t="shared" ref="D25" si="2">SUM(D26:D32)</f>
        <v>58958246</v>
      </c>
      <c r="E25" s="2"/>
    </row>
    <row r="26" spans="1:5" s="10" customFormat="1" ht="14.25">
      <c r="A26" s="29"/>
      <c r="B26" s="29"/>
      <c r="C26" s="17" t="s">
        <v>27</v>
      </c>
      <c r="D26" s="64">
        <f>10000000+4740000+6870000+17600000+3770000</f>
        <v>42980000</v>
      </c>
      <c r="E26" s="9"/>
    </row>
    <row r="27" spans="1:5" s="10" customFormat="1" ht="14.25">
      <c r="A27" s="29"/>
      <c r="B27" s="29"/>
      <c r="C27" s="17" t="s">
        <v>15</v>
      </c>
      <c r="D27" s="64">
        <v>325469</v>
      </c>
      <c r="E27" s="9"/>
    </row>
    <row r="28" spans="1:5" ht="14.25">
      <c r="A28" s="20"/>
      <c r="B28" s="20"/>
      <c r="C28" s="17" t="s">
        <v>16</v>
      </c>
      <c r="D28" s="64">
        <v>12983750</v>
      </c>
      <c r="E28" s="2"/>
    </row>
    <row r="29" spans="1:5" ht="14.25">
      <c r="A29" s="20"/>
      <c r="B29" s="20"/>
      <c r="C29" s="17" t="s">
        <v>17</v>
      </c>
      <c r="D29" s="64"/>
      <c r="E29" s="2"/>
    </row>
    <row r="30" spans="1:5" ht="14.25">
      <c r="A30" s="20"/>
      <c r="B30" s="20"/>
      <c r="C30" s="17" t="s">
        <v>45</v>
      </c>
      <c r="D30" s="64"/>
      <c r="E30" s="2"/>
    </row>
    <row r="31" spans="1:5" ht="14.25">
      <c r="A31" s="20"/>
      <c r="B31" s="20"/>
      <c r="C31" s="17" t="s">
        <v>26</v>
      </c>
      <c r="D31" s="64"/>
      <c r="E31" s="2"/>
    </row>
    <row r="32" spans="1:5" ht="14.25">
      <c r="A32" s="20"/>
      <c r="B32" s="20"/>
      <c r="C32" s="17" t="s">
        <v>14</v>
      </c>
      <c r="D32" s="64">
        <v>2669027</v>
      </c>
      <c r="E32" s="2"/>
    </row>
    <row r="33" spans="1:5" ht="15.75">
      <c r="A33" s="20"/>
      <c r="B33" s="20"/>
      <c r="C33" s="19" t="s">
        <v>4</v>
      </c>
      <c r="D33" s="62">
        <v>37122838</v>
      </c>
      <c r="E33" s="2"/>
    </row>
    <row r="34" spans="1:5" ht="15.75">
      <c r="A34" s="20"/>
      <c r="B34" s="20"/>
      <c r="C34" s="19" t="s">
        <v>5</v>
      </c>
      <c r="D34" s="19">
        <f t="shared" ref="D34" si="3">SUM(D35:D36)</f>
        <v>679835945</v>
      </c>
      <c r="E34" s="2"/>
    </row>
    <row r="35" spans="1:5" s="10" customFormat="1" ht="14.25">
      <c r="A35" s="29"/>
      <c r="B35" s="29"/>
      <c r="C35" s="17" t="s">
        <v>36</v>
      </c>
      <c r="D35" s="65"/>
      <c r="E35" s="9"/>
    </row>
    <row r="36" spans="1:5" ht="14.25">
      <c r="A36" s="20"/>
      <c r="B36" s="20"/>
      <c r="C36" s="17" t="s">
        <v>64</v>
      </c>
      <c r="D36" s="65">
        <v>679835945</v>
      </c>
      <c r="E36" s="2"/>
    </row>
    <row r="37" spans="1:5" ht="15.75">
      <c r="A37" s="20"/>
      <c r="B37" s="20"/>
      <c r="C37" s="19" t="s">
        <v>68</v>
      </c>
      <c r="D37" s="26">
        <f>SUM(D38:D41)</f>
        <v>20164034</v>
      </c>
      <c r="E37" s="2"/>
    </row>
    <row r="38" spans="1:5" ht="14.25">
      <c r="A38" s="20"/>
      <c r="B38" s="20"/>
      <c r="C38" s="17" t="s">
        <v>22</v>
      </c>
      <c r="D38" s="64">
        <v>18864034</v>
      </c>
      <c r="E38" s="2"/>
    </row>
    <row r="39" spans="1:5" ht="14.25">
      <c r="A39" s="20"/>
      <c r="B39" s="20"/>
      <c r="C39" s="17" t="s">
        <v>23</v>
      </c>
      <c r="D39" s="64">
        <v>1300000</v>
      </c>
      <c r="E39" s="2"/>
    </row>
    <row r="40" spans="1:5" ht="14.25">
      <c r="A40" s="20"/>
      <c r="B40" s="20"/>
      <c r="C40" s="17" t="s">
        <v>24</v>
      </c>
      <c r="D40" s="65"/>
      <c r="E40" s="2"/>
    </row>
    <row r="41" spans="1:5" ht="14.25">
      <c r="A41" s="20"/>
      <c r="B41" s="20"/>
      <c r="C41" s="17" t="s">
        <v>43</v>
      </c>
      <c r="D41" s="65"/>
      <c r="E41" s="2"/>
    </row>
    <row r="42" spans="1:5" s="6" customFormat="1" ht="17.25">
      <c r="A42" s="31" t="s">
        <v>70</v>
      </c>
      <c r="B42" s="123">
        <f>B5-D5</f>
        <v>-295466828</v>
      </c>
      <c r="C42" s="123"/>
      <c r="D42" s="123"/>
      <c r="E42" s="21"/>
    </row>
    <row r="44" spans="1:5" ht="15.75">
      <c r="A44" s="33" t="s">
        <v>71</v>
      </c>
      <c r="B44" s="33" t="s">
        <v>72</v>
      </c>
    </row>
    <row r="45" spans="1:5" ht="16.5" customHeight="1">
      <c r="A45" s="35" t="s">
        <v>56</v>
      </c>
      <c r="B45" s="35">
        <v>750000000</v>
      </c>
    </row>
    <row r="46" spans="1:5" ht="16.5" customHeight="1">
      <c r="A46" s="17" t="s">
        <v>57</v>
      </c>
      <c r="B46" s="17">
        <v>6293000000</v>
      </c>
    </row>
    <row r="47" spans="1:5" ht="18" customHeight="1">
      <c r="A47" s="37" t="s">
        <v>60</v>
      </c>
      <c r="B47" s="36">
        <f>B45+B46</f>
        <v>7043000000</v>
      </c>
    </row>
    <row r="50" spans="1:5" ht="15.75">
      <c r="A50" s="33" t="s">
        <v>52</v>
      </c>
      <c r="B50" s="33" t="s">
        <v>72</v>
      </c>
    </row>
    <row r="51" spans="1:5" s="14" customFormat="1" ht="19.5" customHeight="1">
      <c r="A51" s="56" t="s">
        <v>84</v>
      </c>
      <c r="B51" s="56">
        <v>8708235</v>
      </c>
      <c r="D51" s="7"/>
      <c r="E51" s="7"/>
    </row>
    <row r="52" spans="1:5" s="14" customFormat="1" ht="19.5" customHeight="1">
      <c r="A52" s="56" t="s">
        <v>85</v>
      </c>
      <c r="B52" s="56">
        <v>9322300</v>
      </c>
      <c r="D52" s="7"/>
      <c r="E52" s="7"/>
    </row>
    <row r="53" spans="1:5" s="14" customFormat="1" ht="19.5" customHeight="1">
      <c r="A53" s="56" t="s">
        <v>79</v>
      </c>
      <c r="B53" s="56">
        <v>3500000</v>
      </c>
      <c r="D53" s="7"/>
      <c r="E53" s="7"/>
    </row>
    <row r="54" spans="1:5" s="14" customFormat="1" ht="19.5" customHeight="1">
      <c r="A54" s="56" t="s">
        <v>91</v>
      </c>
      <c r="B54" s="56">
        <v>13759746</v>
      </c>
      <c r="D54" s="7"/>
      <c r="E54" s="7"/>
    </row>
    <row r="55" spans="1:5" s="14" customFormat="1" ht="19.5" customHeight="1">
      <c r="A55" s="56" t="s">
        <v>101</v>
      </c>
      <c r="B55" s="56">
        <v>21007603</v>
      </c>
      <c r="D55" s="7"/>
      <c r="E55" s="7"/>
    </row>
    <row r="56" spans="1:5" s="14" customFormat="1" ht="19.5" customHeight="1">
      <c r="A56" s="56" t="s">
        <v>106</v>
      </c>
      <c r="B56" s="56">
        <v>16355285</v>
      </c>
      <c r="D56" s="7"/>
      <c r="E56" s="7"/>
    </row>
    <row r="57" spans="1:5" s="14" customFormat="1" ht="19.5" customHeight="1">
      <c r="A57" s="56" t="s">
        <v>107</v>
      </c>
      <c r="B57" s="56">
        <v>51314030</v>
      </c>
      <c r="D57" s="7"/>
      <c r="E57" s="7"/>
    </row>
    <row r="58" spans="1:5" s="14" customFormat="1" ht="15.75">
      <c r="A58" s="37" t="s">
        <v>60</v>
      </c>
      <c r="B58" s="36">
        <f>SUM(B51:B57)</f>
        <v>123967199</v>
      </c>
      <c r="D58" s="7"/>
      <c r="E58" s="7"/>
    </row>
    <row r="60" spans="1:5" s="14" customFormat="1" ht="15.75">
      <c r="A60" s="47" t="s">
        <v>75</v>
      </c>
      <c r="B60" s="38"/>
      <c r="D60" s="7"/>
      <c r="E60" s="7"/>
    </row>
    <row r="61" spans="1:5" s="14" customFormat="1">
      <c r="A61" s="23"/>
      <c r="B61" s="7"/>
      <c r="D61" s="7"/>
      <c r="E61" s="7"/>
    </row>
    <row r="62" spans="1:5" s="14" customFormat="1">
      <c r="A62" s="23"/>
      <c r="B62" s="7"/>
      <c r="D62" s="7"/>
      <c r="E62" s="7"/>
    </row>
    <row r="63" spans="1:5" s="14" customFormat="1">
      <c r="A63" s="23"/>
      <c r="B63" s="7"/>
      <c r="D63" s="7"/>
      <c r="E63" s="7"/>
    </row>
    <row r="64" spans="1:5" s="14" customFormat="1" ht="15.75">
      <c r="A64" s="48" t="s">
        <v>76</v>
      </c>
      <c r="B64" s="7"/>
      <c r="D64" s="7"/>
      <c r="E64" s="7"/>
    </row>
  </sheetData>
  <mergeCells count="2">
    <mergeCell ref="A1:D1"/>
    <mergeCell ref="B42:D42"/>
  </mergeCells>
  <pageMargins left="0.86" right="0.14000000000000001" top="0.17" bottom="0.09" header="0.16" footer="0.09"/>
  <pageSetup scale="7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31" sqref="O31"/>
    </sheetView>
  </sheetViews>
  <sheetFormatPr defaultRowHeight="12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31" sqref="O31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I119"/>
  <sheetViews>
    <sheetView workbookViewId="0">
      <pane xSplit="1" ySplit="5" topLeftCell="B6" activePane="bottomRight" state="frozen"/>
      <selection activeCell="Q31" sqref="Q31"/>
      <selection pane="topRight" activeCell="Q31" sqref="Q31"/>
      <selection pane="bottomLeft" activeCell="Q31" sqref="Q31"/>
      <selection pane="bottomRight" activeCell="D19" sqref="D19"/>
    </sheetView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22" t="s">
        <v>78</v>
      </c>
      <c r="B2" s="122"/>
      <c r="C2" s="122"/>
      <c r="D2" s="12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7</v>
      </c>
      <c r="B4" s="11" t="s">
        <v>65</v>
      </c>
      <c r="C4" s="11" t="s">
        <v>7</v>
      </c>
      <c r="D4" s="11" t="s">
        <v>65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20</v>
      </c>
      <c r="B6" s="41">
        <f t="shared" ref="B6" si="0">B7+B18+B16</f>
        <v>38204340</v>
      </c>
      <c r="C6" s="40" t="s">
        <v>74</v>
      </c>
      <c r="D6" s="42">
        <f>D7+D8+D17</f>
        <v>134047839</v>
      </c>
      <c r="E6" s="8"/>
      <c r="F6" s="2"/>
      <c r="G6" s="2"/>
      <c r="H6" s="2"/>
      <c r="I6" s="2"/>
    </row>
    <row r="7" spans="1:9" s="10" customFormat="1" ht="15.75">
      <c r="A7" s="19" t="s">
        <v>10</v>
      </c>
      <c r="B7" s="26">
        <f t="shared" ref="B7" si="1">SUM(B8:B14)</f>
        <v>38080000</v>
      </c>
      <c r="C7" s="19" t="s">
        <v>2</v>
      </c>
      <c r="D7" s="19"/>
      <c r="E7" s="45"/>
      <c r="F7" s="9"/>
      <c r="G7" s="9"/>
      <c r="H7" s="9"/>
      <c r="I7" s="9"/>
    </row>
    <row r="8" spans="1:9" ht="15.75">
      <c r="A8" s="17" t="s">
        <v>30</v>
      </c>
      <c r="B8" s="49"/>
      <c r="C8" s="19" t="s">
        <v>47</v>
      </c>
      <c r="D8" s="26">
        <f>SUM(D9:D16)</f>
        <v>41975780</v>
      </c>
      <c r="E8" s="8"/>
      <c r="F8" s="2"/>
      <c r="G8" s="2"/>
      <c r="H8" s="2"/>
      <c r="I8" s="2"/>
    </row>
    <row r="9" spans="1:9" ht="14.25">
      <c r="A9" s="17" t="s">
        <v>31</v>
      </c>
      <c r="B9" s="51">
        <v>10710000</v>
      </c>
      <c r="C9" s="17" t="s">
        <v>53</v>
      </c>
      <c r="D9" s="51">
        <v>36575780</v>
      </c>
      <c r="E9" s="8"/>
      <c r="F9" s="2"/>
      <c r="G9" s="2"/>
      <c r="H9" s="2"/>
      <c r="I9" s="2"/>
    </row>
    <row r="10" spans="1:9" ht="14.25">
      <c r="A10" s="17" t="s">
        <v>33</v>
      </c>
      <c r="B10" s="51"/>
      <c r="C10" s="17" t="s">
        <v>54</v>
      </c>
      <c r="D10" s="17"/>
      <c r="E10" s="8"/>
      <c r="F10" s="2"/>
      <c r="G10" s="2"/>
      <c r="H10" s="2"/>
      <c r="I10" s="2"/>
    </row>
    <row r="11" spans="1:9" ht="14.25">
      <c r="A11" s="17" t="s">
        <v>46</v>
      </c>
      <c r="B11" s="51"/>
      <c r="C11" s="17" t="s">
        <v>55</v>
      </c>
      <c r="D11" s="17"/>
      <c r="E11" s="8"/>
      <c r="F11" s="2"/>
      <c r="G11" s="2"/>
      <c r="H11" s="2"/>
      <c r="I11" s="2"/>
    </row>
    <row r="12" spans="1:9" ht="14.25">
      <c r="A12" s="17" t="s">
        <v>34</v>
      </c>
      <c r="B12" s="51">
        <v>19000000</v>
      </c>
      <c r="C12" s="17" t="s">
        <v>35</v>
      </c>
      <c r="D12" s="17"/>
      <c r="E12" s="8"/>
      <c r="F12" s="2"/>
      <c r="G12" s="2"/>
      <c r="H12" s="2"/>
      <c r="I12" s="2"/>
    </row>
    <row r="13" spans="1:9" ht="14.25">
      <c r="A13" s="17" t="s">
        <v>32</v>
      </c>
      <c r="B13" s="51">
        <v>7370000</v>
      </c>
      <c r="C13" s="17" t="s">
        <v>36</v>
      </c>
      <c r="D13" s="17"/>
      <c r="E13" s="8"/>
      <c r="F13" s="2"/>
      <c r="G13" s="2"/>
      <c r="H13" s="2"/>
      <c r="I13" s="2"/>
    </row>
    <row r="14" spans="1:9" ht="14.25">
      <c r="A14" s="17" t="s">
        <v>37</v>
      </c>
      <c r="B14" s="51">
        <v>1000000</v>
      </c>
      <c r="C14" s="17" t="s">
        <v>38</v>
      </c>
      <c r="D14" s="17"/>
      <c r="E14" s="8"/>
      <c r="F14" s="2"/>
      <c r="G14" s="2"/>
      <c r="H14" s="2"/>
      <c r="I14" s="2"/>
    </row>
    <row r="15" spans="1:9" ht="14.25">
      <c r="A15" s="17" t="s">
        <v>59</v>
      </c>
      <c r="B15" s="51"/>
      <c r="C15" s="17" t="s">
        <v>58</v>
      </c>
      <c r="D15" s="17"/>
      <c r="E15" s="8"/>
      <c r="F15" s="2"/>
      <c r="G15" s="2"/>
      <c r="H15" s="2"/>
      <c r="I15" s="2"/>
    </row>
    <row r="16" spans="1:9" s="10" customFormat="1" ht="15.75">
      <c r="A16" s="19" t="s">
        <v>41</v>
      </c>
      <c r="B16" s="26">
        <f t="shared" ref="B16" si="2">SUM(B17:B17)</f>
        <v>0</v>
      </c>
      <c r="C16" s="17" t="s">
        <v>1</v>
      </c>
      <c r="D16" s="49">
        <v>5400000</v>
      </c>
      <c r="E16" s="45"/>
      <c r="F16" s="9"/>
      <c r="G16" s="9"/>
      <c r="H16" s="9"/>
    </row>
    <row r="17" spans="1:9" ht="15.75">
      <c r="A17" s="17" t="s">
        <v>21</v>
      </c>
      <c r="B17" s="17"/>
      <c r="C17" s="19" t="s">
        <v>73</v>
      </c>
      <c r="D17" s="26">
        <f>SUM(D18:D22)</f>
        <v>92072059</v>
      </c>
      <c r="E17" s="8"/>
      <c r="F17" s="2"/>
      <c r="G17" s="2"/>
      <c r="H17" s="2"/>
      <c r="I17" s="2"/>
    </row>
    <row r="18" spans="1:9" s="10" customFormat="1" ht="15.75">
      <c r="A18" s="19" t="s">
        <v>42</v>
      </c>
      <c r="B18" s="52">
        <v>124340</v>
      </c>
      <c r="C18" s="17" t="s">
        <v>27</v>
      </c>
      <c r="D18" s="49">
        <v>11370000</v>
      </c>
      <c r="E18" s="45"/>
      <c r="F18" s="9"/>
      <c r="G18" s="9"/>
      <c r="H18" s="9"/>
      <c r="I18" s="9"/>
    </row>
    <row r="19" spans="1:9" ht="14.25">
      <c r="A19" s="43"/>
      <c r="B19" s="43"/>
      <c r="C19" s="17" t="s">
        <v>39</v>
      </c>
      <c r="D19" s="51">
        <v>46670000</v>
      </c>
      <c r="E19" s="8"/>
      <c r="F19" s="2"/>
      <c r="G19" s="2"/>
      <c r="H19" s="2"/>
      <c r="I19" s="2"/>
    </row>
    <row r="20" spans="1:9" s="10" customFormat="1" ht="14.25">
      <c r="A20" s="29"/>
      <c r="B20" s="29"/>
      <c r="C20" s="17" t="s">
        <v>40</v>
      </c>
      <c r="D20" s="51">
        <v>1000000</v>
      </c>
      <c r="E20" s="45"/>
      <c r="F20" s="9"/>
      <c r="G20" s="9"/>
      <c r="H20" s="9"/>
      <c r="I20" s="9"/>
    </row>
    <row r="21" spans="1:9" s="10" customFormat="1" ht="14.25">
      <c r="A21" s="29"/>
      <c r="B21" s="29"/>
      <c r="C21" s="17" t="s">
        <v>15</v>
      </c>
      <c r="D21" s="51">
        <f>49500+54559</f>
        <v>104059</v>
      </c>
      <c r="E21" s="45"/>
      <c r="F21" s="9"/>
      <c r="G21" s="9"/>
      <c r="H21" s="9"/>
      <c r="I21" s="9"/>
    </row>
    <row r="22" spans="1:9" ht="14.25">
      <c r="A22" s="44"/>
      <c r="B22" s="44"/>
      <c r="C22" s="30" t="s">
        <v>1</v>
      </c>
      <c r="D22" s="51">
        <f>11755000+21173000</f>
        <v>32928000</v>
      </c>
      <c r="E22" s="8"/>
      <c r="F22" s="2"/>
      <c r="G22" s="2"/>
      <c r="H22" s="2"/>
      <c r="I22" s="2"/>
    </row>
    <row r="23" spans="1:9" s="6" customFormat="1" ht="17.25">
      <c r="A23" s="31" t="s">
        <v>70</v>
      </c>
      <c r="B23" s="123">
        <f>B6-D6</f>
        <v>-95843499</v>
      </c>
      <c r="C23" s="123"/>
      <c r="D23" s="123"/>
      <c r="E23" s="21"/>
      <c r="F23" s="5"/>
      <c r="G23" s="5"/>
      <c r="H23" s="5"/>
      <c r="I23" s="5"/>
    </row>
    <row r="24" spans="1:9" ht="15.75">
      <c r="A24" s="4"/>
      <c r="B24" s="4"/>
    </row>
    <row r="25" spans="1:9" ht="15.75">
      <c r="A25" s="4"/>
      <c r="B25" s="4"/>
    </row>
    <row r="26" spans="1:9" s="13" customFormat="1">
      <c r="A26" s="3"/>
      <c r="B26" s="3"/>
      <c r="C26" s="3"/>
      <c r="D26" s="3"/>
      <c r="E26" s="46"/>
      <c r="F26" s="3"/>
      <c r="G26" s="3"/>
      <c r="H26" s="3"/>
      <c r="I26" s="3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</sheetData>
  <mergeCells count="2">
    <mergeCell ref="A2:D2"/>
    <mergeCell ref="B23:D23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>
      <pane xSplit="1" ySplit="5" topLeftCell="B6" activePane="bottomRight" state="frozen"/>
      <selection activeCell="Q31" sqref="Q31"/>
      <selection pane="topRight" activeCell="Q31" sqref="Q31"/>
      <selection pane="bottomLeft" activeCell="Q31" sqref="Q31"/>
      <selection pane="bottomRight" activeCell="C18" sqref="C18"/>
    </sheetView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22" t="s">
        <v>86</v>
      </c>
      <c r="B2" s="122"/>
      <c r="C2" s="122"/>
      <c r="D2" s="12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7</v>
      </c>
      <c r="B4" s="11" t="s">
        <v>65</v>
      </c>
      <c r="C4" s="11" t="s">
        <v>7</v>
      </c>
      <c r="D4" s="11" t="s">
        <v>65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20</v>
      </c>
      <c r="B6" s="41">
        <f t="shared" ref="B6" si="0">B7+B19+B17</f>
        <v>505400207</v>
      </c>
      <c r="C6" s="40" t="s">
        <v>74</v>
      </c>
      <c r="D6" s="42">
        <f>D7+D8+D18</f>
        <v>83986835</v>
      </c>
      <c r="E6" s="8"/>
      <c r="F6" s="2"/>
      <c r="G6" s="2"/>
      <c r="H6" s="2"/>
      <c r="I6" s="2"/>
    </row>
    <row r="7" spans="1:9" s="10" customFormat="1" ht="15.75">
      <c r="A7" s="19" t="s">
        <v>10</v>
      </c>
      <c r="B7" s="26">
        <f>SUM(B8:B16)</f>
        <v>505369929</v>
      </c>
      <c r="C7" s="19" t="s">
        <v>2</v>
      </c>
      <c r="D7" s="19"/>
      <c r="E7" s="45"/>
      <c r="F7" s="9"/>
      <c r="G7" s="9"/>
      <c r="H7" s="9"/>
      <c r="I7" s="9"/>
    </row>
    <row r="8" spans="1:9" ht="15.75">
      <c r="A8" s="49" t="s">
        <v>30</v>
      </c>
      <c r="B8" s="51"/>
      <c r="C8" s="19" t="s">
        <v>47</v>
      </c>
      <c r="D8" s="26">
        <f>SUM(D9:D17)</f>
        <v>57190224</v>
      </c>
      <c r="E8" s="8"/>
      <c r="F8" s="2"/>
      <c r="G8" s="2"/>
      <c r="H8" s="2"/>
      <c r="I8" s="2"/>
    </row>
    <row r="9" spans="1:9" ht="14.25">
      <c r="A9" s="51" t="s">
        <v>31</v>
      </c>
      <c r="B9" s="51">
        <v>121709007</v>
      </c>
      <c r="C9" s="49" t="s">
        <v>53</v>
      </c>
      <c r="D9" s="49">
        <f>30455224+40000</f>
        <v>30495224</v>
      </c>
      <c r="E9" s="8"/>
      <c r="F9" s="2"/>
      <c r="G9" s="2"/>
      <c r="H9" s="2"/>
      <c r="I9" s="2"/>
    </row>
    <row r="10" spans="1:9" ht="14.25">
      <c r="A10" s="51" t="s">
        <v>33</v>
      </c>
      <c r="B10" s="51"/>
      <c r="C10" s="49" t="s">
        <v>54</v>
      </c>
      <c r="D10" s="49"/>
      <c r="E10" s="8"/>
      <c r="F10" s="2"/>
      <c r="G10" s="2"/>
      <c r="H10" s="2"/>
      <c r="I10" s="2"/>
    </row>
    <row r="11" spans="1:9" ht="14.25">
      <c r="A11" s="51" t="s">
        <v>46</v>
      </c>
      <c r="B11" s="51">
        <v>182893920</v>
      </c>
      <c r="C11" s="49" t="s">
        <v>55</v>
      </c>
      <c r="D11" s="49">
        <v>80000</v>
      </c>
      <c r="E11" s="8"/>
      <c r="F11" s="2"/>
      <c r="G11" s="2"/>
      <c r="H11" s="2"/>
      <c r="I11" s="2"/>
    </row>
    <row r="12" spans="1:9" ht="14.25">
      <c r="A12" s="51" t="s">
        <v>34</v>
      </c>
      <c r="B12" s="51">
        <v>41850002</v>
      </c>
      <c r="C12" s="49" t="s">
        <v>35</v>
      </c>
      <c r="D12" s="49"/>
      <c r="E12" s="8"/>
      <c r="F12" s="2"/>
      <c r="G12" s="2"/>
      <c r="H12" s="2"/>
      <c r="I12" s="2"/>
    </row>
    <row r="13" spans="1:9" ht="14.25">
      <c r="A13" s="51" t="s">
        <v>32</v>
      </c>
      <c r="B13" s="51">
        <v>15598000</v>
      </c>
      <c r="C13" s="49" t="s">
        <v>36</v>
      </c>
      <c r="D13" s="49">
        <v>6575000</v>
      </c>
      <c r="E13" s="8"/>
      <c r="F13" s="2"/>
      <c r="G13" s="2"/>
      <c r="H13" s="2"/>
      <c r="I13" s="2"/>
    </row>
    <row r="14" spans="1:9" ht="14.25">
      <c r="A14" s="51" t="s">
        <v>37</v>
      </c>
      <c r="B14" s="51">
        <v>138160000</v>
      </c>
      <c r="C14" s="49" t="s">
        <v>38</v>
      </c>
      <c r="D14" s="49">
        <v>20000000</v>
      </c>
      <c r="E14" s="8"/>
      <c r="F14" s="2"/>
      <c r="G14" s="2"/>
      <c r="H14" s="2"/>
      <c r="I14" s="2"/>
    </row>
    <row r="15" spans="1:9" ht="14.25">
      <c r="A15" s="51" t="s">
        <v>59</v>
      </c>
      <c r="B15" s="51"/>
      <c r="C15" s="49" t="s">
        <v>58</v>
      </c>
      <c r="D15" s="49"/>
      <c r="E15" s="8"/>
      <c r="F15" s="2"/>
      <c r="G15" s="2"/>
      <c r="H15" s="2"/>
      <c r="I15" s="2"/>
    </row>
    <row r="16" spans="1:9" ht="14.25">
      <c r="A16" s="51" t="s">
        <v>87</v>
      </c>
      <c r="B16" s="51">
        <v>5159000</v>
      </c>
      <c r="C16" s="49" t="s">
        <v>88</v>
      </c>
      <c r="D16" s="49">
        <v>40000</v>
      </c>
      <c r="E16" s="8"/>
      <c r="F16" s="2"/>
      <c r="G16" s="2"/>
      <c r="H16" s="2"/>
      <c r="I16" s="2"/>
    </row>
    <row r="17" spans="1:9" s="10" customFormat="1" ht="15.75">
      <c r="A17" s="19" t="s">
        <v>41</v>
      </c>
      <c r="B17" s="26">
        <f t="shared" ref="B17" si="1">SUM(B18:B18)</f>
        <v>0</v>
      </c>
      <c r="C17" s="49" t="s">
        <v>1</v>
      </c>
      <c r="D17" s="49"/>
      <c r="E17" s="45"/>
      <c r="F17" s="9"/>
      <c r="G17" s="9"/>
      <c r="H17" s="9"/>
    </row>
    <row r="18" spans="1:9" ht="15.75">
      <c r="A18" s="17" t="s">
        <v>21</v>
      </c>
      <c r="B18" s="17"/>
      <c r="C18" s="19" t="s">
        <v>73</v>
      </c>
      <c r="D18" s="26">
        <f>SUM(D19:D23)</f>
        <v>26796611</v>
      </c>
      <c r="E18" s="8"/>
      <c r="F18" s="2"/>
      <c r="G18" s="2"/>
      <c r="H18" s="2"/>
      <c r="I18" s="2"/>
    </row>
    <row r="19" spans="1:9" s="10" customFormat="1" ht="15.75">
      <c r="A19" s="19" t="s">
        <v>42</v>
      </c>
      <c r="B19" s="52">
        <v>30278</v>
      </c>
      <c r="C19" s="17" t="s">
        <v>27</v>
      </c>
      <c r="D19" s="51"/>
      <c r="E19" s="45"/>
      <c r="F19" s="9"/>
      <c r="G19" s="9"/>
      <c r="H19" s="9"/>
      <c r="I19" s="9"/>
    </row>
    <row r="20" spans="1:9" ht="14.25">
      <c r="A20" s="43"/>
      <c r="B20" s="43"/>
      <c r="C20" s="17" t="s">
        <v>39</v>
      </c>
      <c r="D20" s="51">
        <v>8806111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40</v>
      </c>
      <c r="D21" s="51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15</v>
      </c>
      <c r="D22" s="51">
        <f>5500</f>
        <v>5500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1</v>
      </c>
      <c r="D23" s="51">
        <v>17985000</v>
      </c>
      <c r="E23" s="8"/>
      <c r="F23" s="2"/>
      <c r="G23" s="2"/>
      <c r="H23" s="2"/>
      <c r="I23" s="2"/>
    </row>
    <row r="24" spans="1:9" s="6" customFormat="1" ht="17.25">
      <c r="A24" s="31" t="s">
        <v>70</v>
      </c>
      <c r="B24" s="123">
        <f>B6-D6</f>
        <v>421413372</v>
      </c>
      <c r="C24" s="123"/>
      <c r="D24" s="12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>
      <pane xSplit="1" ySplit="5" topLeftCell="B6" activePane="bottomRight" state="frozen"/>
      <selection activeCell="Q31" sqref="Q31"/>
      <selection pane="topRight" activeCell="Q31" sqref="Q31"/>
      <selection pane="bottomLeft" activeCell="Q31" sqref="Q31"/>
      <selection pane="bottomRight" activeCell="D43" sqref="D43"/>
    </sheetView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22" t="s">
        <v>92</v>
      </c>
      <c r="B2" s="122"/>
      <c r="C2" s="122"/>
      <c r="D2" s="12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7</v>
      </c>
      <c r="B4" s="11" t="s">
        <v>65</v>
      </c>
      <c r="C4" s="11" t="s">
        <v>7</v>
      </c>
      <c r="D4" s="11" t="s">
        <v>65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20</v>
      </c>
      <c r="B6" s="41">
        <f t="shared" ref="B6" si="0">B7+B19+B17</f>
        <v>51792328</v>
      </c>
      <c r="C6" s="40" t="s">
        <v>74</v>
      </c>
      <c r="D6" s="42">
        <f>D7+D8+D18</f>
        <v>143071211</v>
      </c>
      <c r="E6" s="8"/>
      <c r="F6" s="2"/>
      <c r="G6" s="2"/>
      <c r="H6" s="2"/>
      <c r="I6" s="2"/>
    </row>
    <row r="7" spans="1:9" s="10" customFormat="1" ht="15.75">
      <c r="A7" s="19" t="s">
        <v>10</v>
      </c>
      <c r="B7" s="26">
        <f>SUM(B8:B16)</f>
        <v>51690800</v>
      </c>
      <c r="C7" s="19" t="s">
        <v>2</v>
      </c>
      <c r="D7" s="19"/>
      <c r="E7" s="45"/>
      <c r="F7" s="9"/>
      <c r="G7" s="9"/>
      <c r="H7" s="9"/>
      <c r="I7" s="9"/>
    </row>
    <row r="8" spans="1:9" ht="15.75">
      <c r="A8" s="49" t="s">
        <v>30</v>
      </c>
      <c r="B8" s="49"/>
      <c r="C8" s="19" t="s">
        <v>47</v>
      </c>
      <c r="D8" s="26">
        <f>SUM(D9:D17)</f>
        <v>134691561</v>
      </c>
      <c r="E8" s="8"/>
      <c r="F8" s="2"/>
      <c r="G8" s="2"/>
      <c r="H8" s="2"/>
      <c r="I8" s="2"/>
    </row>
    <row r="9" spans="1:9" ht="14.25">
      <c r="A9" s="51" t="s">
        <v>31</v>
      </c>
      <c r="B9" s="51"/>
      <c r="C9" s="49" t="s">
        <v>53</v>
      </c>
      <c r="D9" s="49">
        <f>5062000+33226001</f>
        <v>38288001</v>
      </c>
      <c r="E9" s="8"/>
      <c r="F9" s="2"/>
      <c r="G9" s="2"/>
      <c r="H9" s="2"/>
      <c r="I9" s="2"/>
    </row>
    <row r="10" spans="1:9" ht="14.25">
      <c r="A10" s="51" t="s">
        <v>33</v>
      </c>
      <c r="B10" s="51"/>
      <c r="C10" s="49" t="s">
        <v>54</v>
      </c>
      <c r="D10" s="49"/>
      <c r="E10" s="8"/>
      <c r="F10" s="2"/>
      <c r="G10" s="2"/>
      <c r="H10" s="2"/>
      <c r="I10" s="2"/>
    </row>
    <row r="11" spans="1:9" ht="14.25">
      <c r="A11" s="51" t="s">
        <v>46</v>
      </c>
      <c r="B11" s="51">
        <v>14616800</v>
      </c>
      <c r="C11" s="49" t="s">
        <v>55</v>
      </c>
      <c r="D11" s="49">
        <v>54253560</v>
      </c>
      <c r="E11" s="8"/>
      <c r="F11" s="2"/>
      <c r="G11" s="2"/>
      <c r="H11" s="2"/>
      <c r="I11" s="2"/>
    </row>
    <row r="12" spans="1:9" ht="14.25">
      <c r="A12" s="51" t="s">
        <v>34</v>
      </c>
      <c r="B12" s="51">
        <v>32800000</v>
      </c>
      <c r="C12" s="49" t="s">
        <v>35</v>
      </c>
      <c r="D12" s="49">
        <v>36510000</v>
      </c>
      <c r="E12" s="8"/>
      <c r="F12" s="2"/>
      <c r="G12" s="2"/>
      <c r="H12" s="2"/>
      <c r="I12" s="2"/>
    </row>
    <row r="13" spans="1:9" ht="14.25">
      <c r="A13" s="51" t="s">
        <v>32</v>
      </c>
      <c r="B13" s="51"/>
      <c r="C13" s="49" t="s">
        <v>36</v>
      </c>
      <c r="D13" s="49">
        <v>2000000</v>
      </c>
      <c r="E13" s="8"/>
      <c r="F13" s="2"/>
      <c r="G13" s="2"/>
      <c r="H13" s="2"/>
      <c r="I13" s="2"/>
    </row>
    <row r="14" spans="1:9" ht="14.25">
      <c r="A14" s="51" t="s">
        <v>37</v>
      </c>
      <c r="B14" s="51">
        <v>2800000</v>
      </c>
      <c r="C14" s="49" t="s">
        <v>38</v>
      </c>
      <c r="D14" s="49"/>
      <c r="E14" s="8"/>
      <c r="F14" s="2"/>
      <c r="G14" s="2"/>
      <c r="H14" s="2"/>
      <c r="I14" s="2"/>
    </row>
    <row r="15" spans="1:9" ht="14.25">
      <c r="A15" s="51" t="s">
        <v>59</v>
      </c>
      <c r="B15" s="51"/>
      <c r="C15" s="49" t="s">
        <v>58</v>
      </c>
      <c r="D15" s="49">
        <v>3640000</v>
      </c>
      <c r="E15" s="8"/>
      <c r="F15" s="2"/>
      <c r="G15" s="2"/>
      <c r="H15" s="2"/>
      <c r="I15" s="2"/>
    </row>
    <row r="16" spans="1:9" ht="14.25">
      <c r="A16" s="51" t="s">
        <v>87</v>
      </c>
      <c r="B16" s="51">
        <v>1474000</v>
      </c>
      <c r="C16" s="49" t="s">
        <v>88</v>
      </c>
      <c r="D16" s="49"/>
      <c r="E16" s="8"/>
      <c r="F16" s="2"/>
      <c r="G16" s="2"/>
      <c r="H16" s="2"/>
      <c r="I16" s="2"/>
    </row>
    <row r="17" spans="1:9" s="10" customFormat="1" ht="15.75">
      <c r="A17" s="19" t="s">
        <v>41</v>
      </c>
      <c r="B17" s="26">
        <f t="shared" ref="B17" si="1">SUM(B18:B18)</f>
        <v>0</v>
      </c>
      <c r="C17" s="49" t="s">
        <v>1</v>
      </c>
      <c r="D17" s="49"/>
      <c r="E17" s="45"/>
      <c r="F17" s="9"/>
      <c r="G17" s="9"/>
      <c r="H17" s="9"/>
    </row>
    <row r="18" spans="1:9" ht="15.75">
      <c r="A18" s="17" t="s">
        <v>21</v>
      </c>
      <c r="B18" s="17"/>
      <c r="C18" s="19" t="s">
        <v>73</v>
      </c>
      <c r="D18" s="26">
        <f>SUM(D19:D23)</f>
        <v>8379650</v>
      </c>
      <c r="E18" s="8"/>
      <c r="F18" s="2"/>
      <c r="G18" s="2"/>
      <c r="H18" s="2"/>
      <c r="I18" s="2"/>
    </row>
    <row r="19" spans="1:9" s="10" customFormat="1" ht="15.75">
      <c r="A19" s="19" t="s">
        <v>42</v>
      </c>
      <c r="B19" s="52">
        <v>101528</v>
      </c>
      <c r="C19" s="17" t="s">
        <v>27</v>
      </c>
      <c r="D19" s="51"/>
      <c r="E19" s="45"/>
      <c r="F19" s="9"/>
      <c r="G19" s="9"/>
      <c r="H19" s="9"/>
      <c r="I19" s="9"/>
    </row>
    <row r="20" spans="1:9" ht="14.25">
      <c r="A20" s="43"/>
      <c r="B20" s="43"/>
      <c r="C20" s="17" t="s">
        <v>39</v>
      </c>
      <c r="D20" s="51">
        <v>6867650</v>
      </c>
      <c r="E20" s="8"/>
      <c r="F20" s="2"/>
      <c r="G20" s="2"/>
      <c r="H20" s="2"/>
      <c r="I20" s="2"/>
    </row>
    <row r="21" spans="1:9" s="10" customFormat="1" ht="15.75">
      <c r="A21" s="29"/>
      <c r="B21" s="29"/>
      <c r="C21" s="17" t="s">
        <v>40</v>
      </c>
      <c r="D21" s="57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15</v>
      </c>
      <c r="D22" s="51">
        <f>33000</f>
        <v>33000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1</v>
      </c>
      <c r="D23" s="51">
        <v>1479000</v>
      </c>
      <c r="E23" s="8"/>
      <c r="F23" s="2"/>
      <c r="G23" s="2"/>
      <c r="H23" s="2"/>
      <c r="I23" s="2"/>
    </row>
    <row r="24" spans="1:9" s="6" customFormat="1" ht="17.25">
      <c r="A24" s="31" t="s">
        <v>70</v>
      </c>
      <c r="B24" s="123">
        <f>B6-D6</f>
        <v>-91278883</v>
      </c>
      <c r="C24" s="123"/>
      <c r="D24" s="12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>
      <pane xSplit="1" ySplit="5" topLeftCell="B6" activePane="bottomRight" state="frozen"/>
      <selection activeCell="Q31" sqref="Q31"/>
      <selection pane="topRight" activeCell="Q31" sqref="Q31"/>
      <selection pane="bottomLeft" activeCell="Q31" sqref="Q31"/>
      <selection pane="bottomRight" activeCell="C25" sqref="C25"/>
    </sheetView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22" t="s">
        <v>98</v>
      </c>
      <c r="B2" s="122"/>
      <c r="C2" s="122"/>
      <c r="D2" s="12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7</v>
      </c>
      <c r="B4" s="11" t="s">
        <v>65</v>
      </c>
      <c r="C4" s="11" t="s">
        <v>7</v>
      </c>
      <c r="D4" s="11" t="s">
        <v>65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20</v>
      </c>
      <c r="B6" s="41">
        <f t="shared" ref="B6" si="0">B7+B19+B17</f>
        <v>317723220</v>
      </c>
      <c r="C6" s="40" t="s">
        <v>74</v>
      </c>
      <c r="D6" s="42">
        <f>D7+D8+D18</f>
        <v>345049279</v>
      </c>
      <c r="E6" s="8"/>
      <c r="F6" s="2"/>
      <c r="G6" s="2"/>
      <c r="H6" s="2"/>
      <c r="I6" s="2"/>
    </row>
    <row r="7" spans="1:9" s="10" customFormat="1" ht="15.75">
      <c r="A7" s="19" t="s">
        <v>10</v>
      </c>
      <c r="B7" s="26">
        <f>SUM(B8:B16)</f>
        <v>317679262</v>
      </c>
      <c r="C7" s="19" t="s">
        <v>2</v>
      </c>
      <c r="D7" s="19"/>
      <c r="E7" s="45"/>
      <c r="F7" s="9"/>
      <c r="G7" s="9"/>
      <c r="H7" s="9"/>
      <c r="I7" s="9"/>
    </row>
    <row r="8" spans="1:9" ht="15.75">
      <c r="A8" s="49" t="s">
        <v>30</v>
      </c>
      <c r="B8" s="49"/>
      <c r="C8" s="19" t="s">
        <v>47</v>
      </c>
      <c r="D8" s="26">
        <f>SUM(D9:D17)</f>
        <v>305163409</v>
      </c>
      <c r="E8" s="8"/>
      <c r="F8" s="2"/>
      <c r="G8" s="2"/>
      <c r="H8" s="2"/>
      <c r="I8" s="2"/>
    </row>
    <row r="9" spans="1:9" ht="14.25">
      <c r="A9" s="51" t="s">
        <v>31</v>
      </c>
      <c r="B9" s="51">
        <v>211126062</v>
      </c>
      <c r="C9" s="49" t="s">
        <v>53</v>
      </c>
      <c r="D9" s="49">
        <f>160816477+33000000</f>
        <v>193816477</v>
      </c>
      <c r="E9" s="8"/>
      <c r="F9" s="2"/>
      <c r="G9" s="2"/>
      <c r="H9" s="2"/>
      <c r="I9" s="2"/>
    </row>
    <row r="10" spans="1:9" ht="14.25">
      <c r="A10" s="51" t="s">
        <v>33</v>
      </c>
      <c r="B10" s="51"/>
      <c r="C10" s="49" t="s">
        <v>54</v>
      </c>
      <c r="D10" s="49"/>
      <c r="E10" s="8"/>
      <c r="F10" s="2"/>
      <c r="G10" s="2"/>
      <c r="H10" s="2"/>
      <c r="I10" s="2"/>
    </row>
    <row r="11" spans="1:9" ht="14.25">
      <c r="A11" s="51" t="s">
        <v>46</v>
      </c>
      <c r="B11" s="51">
        <v>680200</v>
      </c>
      <c r="C11" s="49" t="s">
        <v>55</v>
      </c>
      <c r="D11" s="49">
        <v>91621932</v>
      </c>
      <c r="E11" s="8"/>
      <c r="F11" s="2"/>
      <c r="G11" s="2"/>
      <c r="H11" s="2"/>
      <c r="I11" s="2"/>
    </row>
    <row r="12" spans="1:9" ht="14.25">
      <c r="A12" s="51" t="s">
        <v>34</v>
      </c>
      <c r="B12" s="51"/>
      <c r="C12" s="49" t="s">
        <v>35</v>
      </c>
      <c r="D12" s="49">
        <f>19680000</f>
        <v>19680000</v>
      </c>
      <c r="E12" s="8"/>
      <c r="F12" s="2"/>
      <c r="G12" s="2"/>
      <c r="H12" s="2"/>
      <c r="I12" s="2"/>
    </row>
    <row r="13" spans="1:9" ht="14.25">
      <c r="A13" s="51" t="s">
        <v>32</v>
      </c>
      <c r="B13" s="51">
        <v>86273000</v>
      </c>
      <c r="C13" s="49" t="s">
        <v>36</v>
      </c>
      <c r="D13" s="49"/>
      <c r="E13" s="8"/>
      <c r="F13" s="2"/>
      <c r="G13" s="2"/>
      <c r="H13" s="2"/>
      <c r="I13" s="2"/>
    </row>
    <row r="14" spans="1:9" ht="14.25">
      <c r="A14" s="51" t="s">
        <v>37</v>
      </c>
      <c r="B14" s="51"/>
      <c r="C14" s="49" t="s">
        <v>38</v>
      </c>
      <c r="D14" s="49"/>
      <c r="E14" s="8"/>
      <c r="F14" s="2"/>
      <c r="G14" s="2"/>
      <c r="H14" s="2"/>
      <c r="I14" s="2"/>
    </row>
    <row r="15" spans="1:9" ht="14.25">
      <c r="A15" s="51" t="s">
        <v>59</v>
      </c>
      <c r="B15" s="51"/>
      <c r="C15" s="49" t="s">
        <v>58</v>
      </c>
      <c r="D15" s="49"/>
      <c r="E15" s="8"/>
      <c r="F15" s="2"/>
      <c r="G15" s="2"/>
      <c r="H15" s="2"/>
      <c r="I15" s="2"/>
    </row>
    <row r="16" spans="1:9" ht="14.25">
      <c r="A16" s="51" t="s">
        <v>87</v>
      </c>
      <c r="B16" s="51">
        <v>19600000</v>
      </c>
      <c r="C16" s="49" t="s">
        <v>88</v>
      </c>
      <c r="D16" s="49">
        <v>45000</v>
      </c>
      <c r="E16" s="8"/>
      <c r="F16" s="2"/>
      <c r="G16" s="2"/>
      <c r="H16" s="2"/>
      <c r="I16" s="2"/>
    </row>
    <row r="17" spans="1:9" s="10" customFormat="1" ht="15.75">
      <c r="A17" s="19" t="s">
        <v>41</v>
      </c>
      <c r="B17" s="26">
        <f t="shared" ref="B17" si="1">SUM(B18:B18)</f>
        <v>0</v>
      </c>
      <c r="C17" s="49" t="s">
        <v>1</v>
      </c>
      <c r="D17" s="49"/>
      <c r="E17" s="45"/>
      <c r="F17" s="9"/>
      <c r="G17" s="9"/>
      <c r="H17" s="9"/>
    </row>
    <row r="18" spans="1:9" ht="15.75">
      <c r="A18" s="17" t="s">
        <v>21</v>
      </c>
      <c r="B18" s="17"/>
      <c r="C18" s="19" t="s">
        <v>73</v>
      </c>
      <c r="D18" s="26">
        <f>SUM(D19:D23)</f>
        <v>39885870</v>
      </c>
      <c r="E18" s="8"/>
      <c r="F18" s="2"/>
      <c r="G18" s="2"/>
      <c r="H18" s="2"/>
      <c r="I18" s="2"/>
    </row>
    <row r="19" spans="1:9" s="10" customFormat="1" ht="15.75">
      <c r="A19" s="19" t="s">
        <v>42</v>
      </c>
      <c r="B19" s="52">
        <v>43958</v>
      </c>
      <c r="C19" s="17" t="s">
        <v>27</v>
      </c>
      <c r="D19" s="51">
        <v>9430000</v>
      </c>
      <c r="E19" s="45"/>
      <c r="F19" s="9"/>
      <c r="G19" s="9"/>
      <c r="H19" s="9"/>
      <c r="I19" s="9"/>
    </row>
    <row r="20" spans="1:9" ht="14.25">
      <c r="A20" s="43"/>
      <c r="B20" s="43"/>
      <c r="C20" s="17" t="s">
        <v>39</v>
      </c>
      <c r="D20" s="51">
        <v>6867650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40</v>
      </c>
      <c r="D21" s="51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15</v>
      </c>
      <c r="D22" s="51">
        <f>66000</f>
        <v>66000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1</v>
      </c>
      <c r="D23" s="51">
        <v>23522220</v>
      </c>
      <c r="E23" s="8"/>
      <c r="F23" s="2"/>
      <c r="G23" s="2"/>
      <c r="H23" s="2"/>
      <c r="I23" s="2"/>
    </row>
    <row r="24" spans="1:9" s="6" customFormat="1" ht="17.25">
      <c r="A24" s="31" t="s">
        <v>70</v>
      </c>
      <c r="B24" s="123">
        <f>B6-D6</f>
        <v>-27326059</v>
      </c>
      <c r="C24" s="123"/>
      <c r="D24" s="12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>
      <pane xSplit="1" ySplit="5" topLeftCell="B6" activePane="bottomRight" state="frozen"/>
      <selection activeCell="Q31" sqref="Q31"/>
      <selection pane="topRight" activeCell="Q31" sqref="Q31"/>
      <selection pane="bottomLeft" activeCell="Q31" sqref="Q31"/>
      <selection pane="bottomRight" activeCell="B8" sqref="B8:B16"/>
    </sheetView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22" t="s">
        <v>102</v>
      </c>
      <c r="B2" s="122"/>
      <c r="C2" s="122"/>
      <c r="D2" s="12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7</v>
      </c>
      <c r="B4" s="11" t="s">
        <v>65</v>
      </c>
      <c r="C4" s="11" t="s">
        <v>7</v>
      </c>
      <c r="D4" s="11" t="s">
        <v>65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20</v>
      </c>
      <c r="B6" s="41">
        <f t="shared" ref="B6" si="0">B7+B19+B17</f>
        <v>255279558</v>
      </c>
      <c r="C6" s="40" t="s">
        <v>74</v>
      </c>
      <c r="D6" s="42">
        <f>D7+D8+D18</f>
        <v>81640605</v>
      </c>
      <c r="E6" s="8"/>
      <c r="F6" s="2"/>
      <c r="G6" s="2"/>
      <c r="H6" s="2"/>
      <c r="I6" s="2"/>
    </row>
    <row r="7" spans="1:9" s="10" customFormat="1" ht="15.75">
      <c r="A7" s="19" t="s">
        <v>10</v>
      </c>
      <c r="B7" s="26">
        <f>SUM(B8:B16)</f>
        <v>255178410</v>
      </c>
      <c r="C7" s="19" t="s">
        <v>2</v>
      </c>
      <c r="D7" s="19"/>
      <c r="E7" s="45"/>
      <c r="F7" s="9"/>
      <c r="G7" s="9"/>
      <c r="H7" s="9"/>
      <c r="I7" s="9"/>
    </row>
    <row r="8" spans="1:9" ht="15.75">
      <c r="A8" s="49" t="s">
        <v>30</v>
      </c>
      <c r="B8" s="49">
        <v>57779400</v>
      </c>
      <c r="C8" s="19" t="s">
        <v>47</v>
      </c>
      <c r="D8" s="26">
        <f>SUM(D9:D17)</f>
        <v>62049720</v>
      </c>
      <c r="E8" s="8"/>
      <c r="F8" s="2"/>
      <c r="G8" s="2"/>
      <c r="H8" s="2"/>
      <c r="I8" s="2"/>
    </row>
    <row r="9" spans="1:9" ht="14.25">
      <c r="A9" s="51" t="s">
        <v>31</v>
      </c>
      <c r="B9" s="51">
        <v>140447010</v>
      </c>
      <c r="C9" s="49" t="s">
        <v>53</v>
      </c>
      <c r="D9" s="49">
        <v>34224000</v>
      </c>
      <c r="E9" s="8"/>
      <c r="F9" s="2"/>
      <c r="G9" s="2"/>
      <c r="H9" s="2"/>
      <c r="I9" s="2"/>
    </row>
    <row r="10" spans="1:9" ht="14.25">
      <c r="A10" s="51" t="s">
        <v>33</v>
      </c>
      <c r="B10" s="51"/>
      <c r="C10" s="49" t="s">
        <v>54</v>
      </c>
      <c r="D10" s="49"/>
      <c r="E10" s="8"/>
      <c r="F10" s="2"/>
      <c r="G10" s="2"/>
      <c r="H10" s="2"/>
      <c r="I10" s="2"/>
    </row>
    <row r="11" spans="1:9" ht="14.25">
      <c r="A11" s="51" t="s">
        <v>46</v>
      </c>
      <c r="B11" s="51"/>
      <c r="C11" s="49" t="s">
        <v>55</v>
      </c>
      <c r="D11" s="49"/>
      <c r="E11" s="8"/>
      <c r="F11" s="2"/>
      <c r="G11" s="2"/>
      <c r="H11" s="2"/>
      <c r="I11" s="2"/>
    </row>
    <row r="12" spans="1:9" ht="14.25">
      <c r="A12" s="51" t="s">
        <v>34</v>
      </c>
      <c r="B12" s="51">
        <v>27000000</v>
      </c>
      <c r="C12" s="49" t="s">
        <v>35</v>
      </c>
      <c r="D12" s="49"/>
      <c r="E12" s="8"/>
      <c r="F12" s="2"/>
      <c r="G12" s="2"/>
      <c r="H12" s="2"/>
      <c r="I12" s="2"/>
    </row>
    <row r="13" spans="1:9" ht="14.25">
      <c r="A13" s="51" t="s">
        <v>32</v>
      </c>
      <c r="B13" s="51">
        <v>15202000</v>
      </c>
      <c r="C13" s="49" t="s">
        <v>36</v>
      </c>
      <c r="D13" s="49">
        <v>14675000</v>
      </c>
      <c r="E13" s="8"/>
      <c r="F13" s="2"/>
      <c r="G13" s="2"/>
      <c r="H13" s="2"/>
      <c r="I13" s="2"/>
    </row>
    <row r="14" spans="1:9" ht="14.25">
      <c r="A14" s="51" t="s">
        <v>37</v>
      </c>
      <c r="B14" s="51">
        <v>12000000</v>
      </c>
      <c r="C14" s="49" t="s">
        <v>38</v>
      </c>
      <c r="D14" s="49">
        <v>3659500</v>
      </c>
      <c r="E14" s="8"/>
      <c r="F14" s="2"/>
      <c r="G14" s="2"/>
      <c r="H14" s="2"/>
      <c r="I14" s="2"/>
    </row>
    <row r="15" spans="1:9" ht="14.25">
      <c r="A15" s="51" t="s">
        <v>59</v>
      </c>
      <c r="B15" s="51"/>
      <c r="C15" s="49" t="s">
        <v>58</v>
      </c>
      <c r="D15" s="49"/>
      <c r="E15" s="8"/>
      <c r="F15" s="2"/>
      <c r="G15" s="2"/>
      <c r="H15" s="2"/>
      <c r="I15" s="2"/>
    </row>
    <row r="16" spans="1:9" ht="14.25">
      <c r="A16" s="51" t="s">
        <v>87</v>
      </c>
      <c r="B16" s="51">
        <v>2750000</v>
      </c>
      <c r="C16" s="49" t="s">
        <v>88</v>
      </c>
      <c r="D16" s="49">
        <v>11220</v>
      </c>
      <c r="E16" s="8"/>
      <c r="F16" s="2"/>
      <c r="G16" s="2"/>
      <c r="H16" s="2"/>
      <c r="I16" s="2"/>
    </row>
    <row r="17" spans="1:9" s="10" customFormat="1" ht="15.75">
      <c r="A17" s="19" t="s">
        <v>41</v>
      </c>
      <c r="B17" s="26">
        <f t="shared" ref="B17" si="1">SUM(B18:B18)</f>
        <v>0</v>
      </c>
      <c r="C17" s="49" t="s">
        <v>1</v>
      </c>
      <c r="D17" s="49">
        <v>9480000</v>
      </c>
      <c r="E17" s="45"/>
      <c r="F17" s="9"/>
      <c r="G17" s="9"/>
      <c r="H17" s="9"/>
    </row>
    <row r="18" spans="1:9" ht="15.75">
      <c r="A18" s="17" t="s">
        <v>21</v>
      </c>
      <c r="B18" s="17"/>
      <c r="C18" s="19" t="s">
        <v>73</v>
      </c>
      <c r="D18" s="26">
        <f>SUM(D19:D23)</f>
        <v>19590885</v>
      </c>
      <c r="E18" s="8"/>
      <c r="F18" s="2"/>
      <c r="G18" s="2"/>
      <c r="H18" s="2"/>
      <c r="I18" s="2"/>
    </row>
    <row r="19" spans="1:9" s="10" customFormat="1" ht="15.75">
      <c r="A19" s="19" t="s">
        <v>42</v>
      </c>
      <c r="B19" s="52">
        <v>101148</v>
      </c>
      <c r="C19" s="17" t="s">
        <v>27</v>
      </c>
      <c r="D19" s="51">
        <v>590000</v>
      </c>
      <c r="E19" s="45"/>
      <c r="F19" s="9"/>
      <c r="G19" s="9"/>
      <c r="H19" s="9"/>
      <c r="I19" s="9"/>
    </row>
    <row r="20" spans="1:9" ht="14.25">
      <c r="A20" s="43"/>
      <c r="B20" s="43"/>
      <c r="C20" s="17" t="s">
        <v>39</v>
      </c>
      <c r="D20" s="51">
        <v>6867650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40</v>
      </c>
      <c r="D21" s="51">
        <v>2041825</v>
      </c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15</v>
      </c>
      <c r="D22" s="51">
        <v>66000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1</v>
      </c>
      <c r="D23" s="51">
        <v>10025410</v>
      </c>
      <c r="E23" s="8"/>
      <c r="F23" s="2"/>
      <c r="G23" s="2"/>
      <c r="H23" s="2"/>
      <c r="I23" s="2"/>
    </row>
    <row r="24" spans="1:9" s="6" customFormat="1" ht="17.25">
      <c r="A24" s="31" t="s">
        <v>70</v>
      </c>
      <c r="B24" s="123">
        <f>B6-D6</f>
        <v>173638953</v>
      </c>
      <c r="C24" s="123"/>
      <c r="D24" s="12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>
      <pane xSplit="1" ySplit="5" topLeftCell="B12" activePane="bottomRight" state="frozen"/>
      <selection activeCell="Q31" sqref="Q31"/>
      <selection pane="topRight" activeCell="Q31" sqref="Q31"/>
      <selection pane="bottomLeft" activeCell="Q31" sqref="Q31"/>
      <selection pane="bottomRight" activeCell="A14" sqref="A14"/>
    </sheetView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22" t="s">
        <v>108</v>
      </c>
      <c r="B2" s="122"/>
      <c r="C2" s="122"/>
      <c r="D2" s="12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7</v>
      </c>
      <c r="B4" s="11" t="s">
        <v>65</v>
      </c>
      <c r="C4" s="11" t="s">
        <v>7</v>
      </c>
      <c r="D4" s="11" t="s">
        <v>65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20</v>
      </c>
      <c r="B6" s="41">
        <f t="shared" ref="B6" si="0">B7+B19+B17</f>
        <v>61538789</v>
      </c>
      <c r="C6" s="40" t="s">
        <v>74</v>
      </c>
      <c r="D6" s="42">
        <f>D7+D8+D18</f>
        <v>153630656</v>
      </c>
      <c r="E6" s="8"/>
      <c r="F6" s="2"/>
      <c r="G6" s="2"/>
      <c r="H6" s="2"/>
      <c r="I6" s="2"/>
    </row>
    <row r="7" spans="1:9" s="10" customFormat="1" ht="15.75">
      <c r="A7" s="19" t="s">
        <v>10</v>
      </c>
      <c r="B7" s="26">
        <f>SUM(B8:B16)</f>
        <v>61456500</v>
      </c>
      <c r="C7" s="19" t="s">
        <v>2</v>
      </c>
      <c r="D7" s="19"/>
      <c r="E7" s="45"/>
      <c r="F7" s="9"/>
      <c r="G7" s="9"/>
      <c r="H7" s="9"/>
      <c r="I7" s="9"/>
    </row>
    <row r="8" spans="1:9" ht="15.75">
      <c r="A8" s="49" t="s">
        <v>30</v>
      </c>
      <c r="B8" s="67">
        <v>12000000</v>
      </c>
      <c r="C8" s="19" t="s">
        <v>47</v>
      </c>
      <c r="D8" s="26">
        <f>SUM(D9:D17)</f>
        <v>136793006</v>
      </c>
      <c r="E8" s="8"/>
      <c r="F8" s="2"/>
      <c r="G8" s="2"/>
      <c r="H8" s="2"/>
      <c r="I8" s="2"/>
    </row>
    <row r="9" spans="1:9" ht="14.25">
      <c r="A9" s="51" t="s">
        <v>31</v>
      </c>
      <c r="B9" s="68"/>
      <c r="C9" s="49" t="s">
        <v>53</v>
      </c>
      <c r="D9" s="64">
        <f>74444206</f>
        <v>74444206</v>
      </c>
      <c r="E9" s="8"/>
      <c r="F9" s="2"/>
      <c r="G9" s="2"/>
      <c r="H9" s="2"/>
      <c r="I9" s="2"/>
    </row>
    <row r="10" spans="1:9" ht="14.25">
      <c r="A10" s="51" t="s">
        <v>33</v>
      </c>
      <c r="B10" s="68"/>
      <c r="C10" s="49" t="s">
        <v>54</v>
      </c>
      <c r="D10" s="65"/>
      <c r="E10" s="8"/>
      <c r="F10" s="2"/>
      <c r="G10" s="2"/>
      <c r="H10" s="2"/>
      <c r="I10" s="2"/>
    </row>
    <row r="11" spans="1:9" ht="14.25">
      <c r="A11" s="51" t="s">
        <v>46</v>
      </c>
      <c r="B11" s="68"/>
      <c r="C11" s="49" t="s">
        <v>55</v>
      </c>
      <c r="D11" s="65"/>
      <c r="E11" s="8"/>
      <c r="F11" s="2"/>
      <c r="G11" s="2"/>
      <c r="H11" s="2"/>
      <c r="I11" s="2"/>
    </row>
    <row r="12" spans="1:9" ht="14.25">
      <c r="A12" s="51" t="s">
        <v>34</v>
      </c>
      <c r="B12" s="68">
        <v>12040000</v>
      </c>
      <c r="C12" s="49" t="s">
        <v>35</v>
      </c>
      <c r="D12" s="65">
        <v>14730000</v>
      </c>
      <c r="E12" s="8"/>
      <c r="F12" s="2"/>
      <c r="G12" s="2"/>
      <c r="H12" s="2"/>
      <c r="I12" s="2"/>
    </row>
    <row r="13" spans="1:9" ht="14.25">
      <c r="A13" s="51" t="s">
        <v>32</v>
      </c>
      <c r="B13" s="68">
        <v>32686500</v>
      </c>
      <c r="C13" s="49" t="s">
        <v>36</v>
      </c>
      <c r="D13" s="65">
        <v>25779000</v>
      </c>
      <c r="E13" s="8"/>
      <c r="F13" s="2"/>
      <c r="G13" s="2"/>
      <c r="H13" s="2"/>
      <c r="I13" s="2"/>
    </row>
    <row r="14" spans="1:9" ht="14.25">
      <c r="A14" s="51" t="s">
        <v>37</v>
      </c>
      <c r="B14" s="68">
        <v>4730000</v>
      </c>
      <c r="C14" s="49" t="s">
        <v>38</v>
      </c>
      <c r="D14" s="65">
        <v>6100000</v>
      </c>
      <c r="E14" s="8"/>
      <c r="F14" s="2"/>
      <c r="G14" s="2"/>
      <c r="H14" s="2"/>
      <c r="I14" s="2"/>
    </row>
    <row r="15" spans="1:9" ht="14.25">
      <c r="A15" s="51" t="s">
        <v>59</v>
      </c>
      <c r="B15" s="68"/>
      <c r="C15" s="49" t="s">
        <v>58</v>
      </c>
      <c r="D15" s="65"/>
      <c r="E15" s="8"/>
      <c r="F15" s="2"/>
      <c r="G15" s="2"/>
      <c r="H15" s="2"/>
      <c r="I15" s="2"/>
    </row>
    <row r="16" spans="1:9" ht="14.25">
      <c r="A16" s="51" t="s">
        <v>87</v>
      </c>
      <c r="B16" s="68"/>
      <c r="C16" s="49" t="s">
        <v>88</v>
      </c>
      <c r="D16" s="65">
        <v>15739800</v>
      </c>
      <c r="E16" s="8"/>
      <c r="F16" s="2"/>
      <c r="G16" s="2"/>
      <c r="H16" s="2"/>
      <c r="I16" s="2"/>
    </row>
    <row r="17" spans="1:9" s="10" customFormat="1" ht="15.75">
      <c r="A17" s="19" t="s">
        <v>41</v>
      </c>
      <c r="B17" s="26">
        <f t="shared" ref="B17" si="1">SUM(B18:B18)</f>
        <v>0</v>
      </c>
      <c r="C17" s="49" t="s">
        <v>1</v>
      </c>
      <c r="D17" s="65"/>
      <c r="E17" s="45"/>
      <c r="F17" s="9"/>
      <c r="G17" s="9"/>
      <c r="H17" s="9"/>
    </row>
    <row r="18" spans="1:9" ht="15.75">
      <c r="A18" s="17" t="s">
        <v>21</v>
      </c>
      <c r="B18" s="17"/>
      <c r="C18" s="19" t="s">
        <v>73</v>
      </c>
      <c r="D18" s="26">
        <f>SUM(D19:D23)</f>
        <v>16837650</v>
      </c>
      <c r="E18" s="8"/>
      <c r="F18" s="2"/>
      <c r="G18" s="2"/>
      <c r="H18" s="2"/>
      <c r="I18" s="2"/>
    </row>
    <row r="19" spans="1:9" s="10" customFormat="1" ht="15.75">
      <c r="A19" s="19" t="s">
        <v>42</v>
      </c>
      <c r="B19" s="62">
        <v>82289</v>
      </c>
      <c r="C19" s="17" t="s">
        <v>27</v>
      </c>
      <c r="D19" s="61">
        <v>9850000</v>
      </c>
      <c r="E19" s="45"/>
      <c r="F19" s="9"/>
      <c r="G19" s="9"/>
      <c r="H19" s="9"/>
      <c r="I19" s="9"/>
    </row>
    <row r="20" spans="1:9" ht="14.25">
      <c r="A20" s="43"/>
      <c r="B20" s="43"/>
      <c r="C20" s="17" t="s">
        <v>39</v>
      </c>
      <c r="D20" s="51">
        <v>6867650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40</v>
      </c>
      <c r="D21" s="61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15</v>
      </c>
      <c r="D22" s="61">
        <v>55000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1</v>
      </c>
      <c r="D23" s="61">
        <v>65000</v>
      </c>
      <c r="E23" s="8"/>
      <c r="F23" s="2"/>
      <c r="G23" s="2"/>
      <c r="H23" s="2"/>
      <c r="I23" s="2"/>
    </row>
    <row r="24" spans="1:9" s="6" customFormat="1" ht="17.25">
      <c r="A24" s="31" t="s">
        <v>70</v>
      </c>
      <c r="B24" s="123">
        <f>B6-D6</f>
        <v>-92091867</v>
      </c>
      <c r="C24" s="123"/>
      <c r="D24" s="12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0"/>
  <sheetViews>
    <sheetView workbookViewId="0">
      <pane xSplit="1" ySplit="5" topLeftCell="B9" activePane="bottomRight" state="frozen"/>
      <selection activeCell="Q31" sqref="Q31"/>
      <selection pane="topRight" activeCell="Q31" sqref="Q31"/>
      <selection pane="bottomLeft" activeCell="Q31" sqref="Q31"/>
      <selection pane="bottomRight" activeCell="C25" sqref="C25"/>
    </sheetView>
  </sheetViews>
  <sheetFormatPr defaultRowHeight="12.75"/>
  <cols>
    <col min="1" max="1" width="42.140625" style="3" customWidth="1"/>
    <col min="2" max="2" width="17" style="3" customWidth="1"/>
    <col min="3" max="3" width="39.7109375" style="3" customWidth="1"/>
    <col min="4" max="4" width="18.28515625" style="3" customWidth="1"/>
    <col min="5" max="5" width="9.140625" style="46"/>
    <col min="6" max="16384" width="9.140625" style="3"/>
  </cols>
  <sheetData>
    <row r="1" spans="1:9" ht="14.25">
      <c r="A1" s="2"/>
      <c r="B1" s="2"/>
      <c r="C1" s="2"/>
      <c r="D1" s="2"/>
      <c r="E1" s="8"/>
      <c r="F1" s="2"/>
      <c r="G1" s="2"/>
      <c r="H1" s="2"/>
      <c r="I1" s="2"/>
    </row>
    <row r="2" spans="1:9" ht="23.25" customHeight="1">
      <c r="A2" s="122" t="s">
        <v>110</v>
      </c>
      <c r="B2" s="122"/>
      <c r="C2" s="122"/>
      <c r="D2" s="122"/>
      <c r="E2" s="8"/>
      <c r="F2" s="2"/>
      <c r="G2" s="2"/>
      <c r="H2" s="2"/>
      <c r="I2" s="2"/>
    </row>
    <row r="3" spans="1:9" ht="15.75">
      <c r="A3" s="1"/>
      <c r="B3" s="1"/>
      <c r="C3" s="2"/>
      <c r="D3" s="2"/>
      <c r="E3" s="8"/>
      <c r="F3" s="2"/>
      <c r="G3" s="2"/>
      <c r="H3" s="2"/>
      <c r="I3" s="2"/>
    </row>
    <row r="4" spans="1:9" ht="15.75">
      <c r="A4" s="11" t="s">
        <v>7</v>
      </c>
      <c r="B4" s="11" t="s">
        <v>65</v>
      </c>
      <c r="C4" s="11" t="s">
        <v>7</v>
      </c>
      <c r="D4" s="11" t="s">
        <v>65</v>
      </c>
      <c r="E4" s="8"/>
      <c r="F4" s="2"/>
      <c r="G4" s="2"/>
      <c r="H4" s="2"/>
      <c r="I4" s="2"/>
    </row>
    <row r="5" spans="1:9" ht="15.75">
      <c r="A5" s="39">
        <v>1</v>
      </c>
      <c r="B5" s="39">
        <v>2</v>
      </c>
      <c r="C5" s="39">
        <v>3</v>
      </c>
      <c r="D5" s="39">
        <v>4</v>
      </c>
      <c r="E5" s="8"/>
      <c r="F5" s="2"/>
      <c r="G5" s="2"/>
      <c r="H5" s="2"/>
      <c r="I5" s="2"/>
    </row>
    <row r="6" spans="1:9" ht="15.75">
      <c r="A6" s="40" t="s">
        <v>20</v>
      </c>
      <c r="B6" s="41">
        <f t="shared" ref="B6" si="0">B7+B19+B17</f>
        <v>66412260</v>
      </c>
      <c r="C6" s="40" t="s">
        <v>74</v>
      </c>
      <c r="D6" s="42">
        <f>D7+D8+D18</f>
        <v>70332670</v>
      </c>
      <c r="E6" s="8"/>
      <c r="F6" s="2"/>
      <c r="G6" s="2"/>
      <c r="H6" s="2"/>
      <c r="I6" s="2"/>
    </row>
    <row r="7" spans="1:9" s="10" customFormat="1" ht="15.75">
      <c r="A7" s="19" t="s">
        <v>10</v>
      </c>
      <c r="B7" s="26">
        <f>SUM(B8:B16)</f>
        <v>64612591</v>
      </c>
      <c r="C7" s="19" t="s">
        <v>2</v>
      </c>
      <c r="D7" s="19"/>
      <c r="E7" s="45"/>
      <c r="F7" s="9"/>
      <c r="G7" s="9"/>
      <c r="H7" s="9"/>
      <c r="I7" s="9"/>
    </row>
    <row r="8" spans="1:9" ht="15.75">
      <c r="A8" s="49" t="s">
        <v>30</v>
      </c>
      <c r="B8" s="63">
        <v>20000000</v>
      </c>
      <c r="C8" s="19" t="s">
        <v>47</v>
      </c>
      <c r="D8" s="26">
        <f>SUM(D9:D17)</f>
        <v>16135020</v>
      </c>
      <c r="E8" s="8"/>
      <c r="F8" s="2"/>
      <c r="G8" s="2"/>
      <c r="H8" s="2"/>
      <c r="I8" s="2"/>
    </row>
    <row r="9" spans="1:9" ht="14.25">
      <c r="A9" s="51" t="s">
        <v>31</v>
      </c>
      <c r="B9" s="61">
        <v>5907990</v>
      </c>
      <c r="C9" s="49" t="s">
        <v>53</v>
      </c>
      <c r="D9" s="64"/>
      <c r="E9" s="8"/>
      <c r="F9" s="2"/>
      <c r="G9" s="2"/>
      <c r="H9" s="2"/>
      <c r="I9" s="2"/>
    </row>
    <row r="10" spans="1:9" ht="14.25">
      <c r="A10" s="51" t="s">
        <v>33</v>
      </c>
      <c r="B10" s="61"/>
      <c r="C10" s="49" t="s">
        <v>54</v>
      </c>
      <c r="D10" s="65"/>
      <c r="E10" s="8"/>
      <c r="F10" s="2"/>
      <c r="G10" s="2"/>
      <c r="H10" s="2"/>
      <c r="I10" s="2"/>
    </row>
    <row r="11" spans="1:9" ht="14.25">
      <c r="A11" s="51" t="s">
        <v>46</v>
      </c>
      <c r="B11" s="61">
        <v>12353601</v>
      </c>
      <c r="C11" s="49" t="s">
        <v>55</v>
      </c>
      <c r="D11" s="65">
        <v>101020</v>
      </c>
      <c r="E11" s="8"/>
      <c r="F11" s="2"/>
      <c r="G11" s="2"/>
      <c r="H11" s="2"/>
      <c r="I11" s="2"/>
    </row>
    <row r="12" spans="1:9" ht="14.25">
      <c r="A12" s="51" t="s">
        <v>34</v>
      </c>
      <c r="B12" s="61">
        <v>10620000</v>
      </c>
      <c r="C12" s="49" t="s">
        <v>35</v>
      </c>
      <c r="D12" s="65"/>
      <c r="E12" s="8"/>
      <c r="F12" s="2"/>
      <c r="G12" s="2"/>
      <c r="H12" s="2"/>
      <c r="I12" s="2"/>
    </row>
    <row r="13" spans="1:9" ht="14.25">
      <c r="A13" s="51" t="s">
        <v>32</v>
      </c>
      <c r="B13" s="61">
        <v>6831000</v>
      </c>
      <c r="C13" s="49" t="s">
        <v>36</v>
      </c>
      <c r="D13" s="65">
        <v>16000000</v>
      </c>
      <c r="E13" s="8"/>
      <c r="F13" s="2"/>
      <c r="G13" s="2"/>
      <c r="H13" s="2"/>
      <c r="I13" s="2"/>
    </row>
    <row r="14" spans="1:9" ht="14.25">
      <c r="A14" s="51" t="s">
        <v>37</v>
      </c>
      <c r="B14" s="61">
        <v>4900000</v>
      </c>
      <c r="C14" s="49" t="s">
        <v>38</v>
      </c>
      <c r="D14" s="65"/>
      <c r="E14" s="8"/>
      <c r="F14" s="2"/>
      <c r="G14" s="2"/>
      <c r="H14" s="2"/>
      <c r="I14" s="2"/>
    </row>
    <row r="15" spans="1:9" ht="14.25">
      <c r="A15" s="51" t="s">
        <v>59</v>
      </c>
      <c r="B15" s="61"/>
      <c r="C15" s="49" t="s">
        <v>58</v>
      </c>
      <c r="D15" s="65"/>
      <c r="E15" s="8"/>
      <c r="F15" s="2"/>
      <c r="G15" s="2"/>
      <c r="H15" s="2"/>
      <c r="I15" s="2"/>
    </row>
    <row r="16" spans="1:9" ht="14.25">
      <c r="A16" s="51" t="s">
        <v>87</v>
      </c>
      <c r="B16" s="61">
        <v>4000000</v>
      </c>
      <c r="C16" s="49" t="s">
        <v>88</v>
      </c>
      <c r="D16" s="65">
        <v>34000</v>
      </c>
      <c r="E16" s="8"/>
      <c r="F16" s="2"/>
      <c r="G16" s="2"/>
      <c r="H16" s="2"/>
      <c r="I16" s="2"/>
    </row>
    <row r="17" spans="1:9" s="10" customFormat="1" ht="15.75">
      <c r="A17" s="19" t="s">
        <v>41</v>
      </c>
      <c r="B17" s="26">
        <f t="shared" ref="B17" si="1">SUM(B18:B18)</f>
        <v>1760000</v>
      </c>
      <c r="C17" s="49" t="s">
        <v>1</v>
      </c>
      <c r="D17" s="65"/>
      <c r="E17" s="45"/>
      <c r="F17" s="9"/>
      <c r="G17" s="9"/>
      <c r="H17" s="9"/>
    </row>
    <row r="18" spans="1:9" ht="15.75">
      <c r="A18" s="17" t="s">
        <v>21</v>
      </c>
      <c r="B18" s="63">
        <v>1760000</v>
      </c>
      <c r="C18" s="19" t="s">
        <v>73</v>
      </c>
      <c r="D18" s="26">
        <f>SUM(D19:D23)</f>
        <v>54197650</v>
      </c>
      <c r="E18" s="8"/>
      <c r="F18" s="2"/>
      <c r="G18" s="2"/>
      <c r="H18" s="2"/>
      <c r="I18" s="2"/>
    </row>
    <row r="19" spans="1:9" s="10" customFormat="1" ht="15.75">
      <c r="A19" s="19" t="s">
        <v>42</v>
      </c>
      <c r="B19" s="62">
        <v>39669</v>
      </c>
      <c r="C19" s="17" t="s">
        <v>27</v>
      </c>
      <c r="D19" s="61">
        <v>16908000</v>
      </c>
      <c r="E19" s="45"/>
      <c r="F19" s="9"/>
      <c r="G19" s="9"/>
      <c r="H19" s="9"/>
      <c r="I19" s="9"/>
    </row>
    <row r="20" spans="1:9" ht="14.25">
      <c r="A20" s="43"/>
      <c r="B20" s="43"/>
      <c r="C20" s="17" t="s">
        <v>39</v>
      </c>
      <c r="D20" s="61">
        <v>6867650</v>
      </c>
      <c r="E20" s="8"/>
      <c r="F20" s="2"/>
      <c r="G20" s="2"/>
      <c r="H20" s="2"/>
      <c r="I20" s="2"/>
    </row>
    <row r="21" spans="1:9" s="10" customFormat="1" ht="14.25">
      <c r="A21" s="29"/>
      <c r="B21" s="29"/>
      <c r="C21" s="17" t="s">
        <v>40</v>
      </c>
      <c r="D21" s="61"/>
      <c r="E21" s="45"/>
      <c r="F21" s="9"/>
      <c r="G21" s="9"/>
      <c r="H21" s="9"/>
      <c r="I21" s="9"/>
    </row>
    <row r="22" spans="1:9" s="10" customFormat="1" ht="14.25">
      <c r="A22" s="29"/>
      <c r="B22" s="29"/>
      <c r="C22" s="17" t="s">
        <v>15</v>
      </c>
      <c r="D22" s="61">
        <f>22000</f>
        <v>22000</v>
      </c>
      <c r="E22" s="45"/>
      <c r="F22" s="9"/>
      <c r="G22" s="9"/>
      <c r="H22" s="9"/>
      <c r="I22" s="9"/>
    </row>
    <row r="23" spans="1:9" ht="14.25">
      <c r="A23" s="44"/>
      <c r="B23" s="44"/>
      <c r="C23" s="30" t="s">
        <v>1</v>
      </c>
      <c r="D23" s="61">
        <v>30400000</v>
      </c>
      <c r="E23" s="8"/>
      <c r="F23" s="2"/>
      <c r="G23" s="2"/>
      <c r="H23" s="2"/>
      <c r="I23" s="2"/>
    </row>
    <row r="24" spans="1:9" s="6" customFormat="1" ht="17.25">
      <c r="A24" s="31" t="s">
        <v>70</v>
      </c>
      <c r="B24" s="123">
        <f>B6-D6</f>
        <v>-3920410</v>
      </c>
      <c r="C24" s="123"/>
      <c r="D24" s="123"/>
      <c r="E24" s="21"/>
      <c r="F24" s="5"/>
      <c r="G24" s="5"/>
      <c r="H24" s="5"/>
      <c r="I24" s="5"/>
    </row>
    <row r="25" spans="1:9" ht="15.75">
      <c r="A25" s="4"/>
      <c r="B25" s="4"/>
    </row>
    <row r="26" spans="1:9" ht="15.75">
      <c r="A26" s="4"/>
      <c r="B26" s="4"/>
    </row>
    <row r="27" spans="1:9" s="13" customFormat="1">
      <c r="A27" s="3"/>
      <c r="B27" s="3"/>
      <c r="C27" s="3"/>
      <c r="D27" s="3"/>
      <c r="E27" s="46"/>
      <c r="F27" s="3"/>
      <c r="G27" s="3"/>
      <c r="H27" s="3"/>
      <c r="I27" s="3"/>
    </row>
    <row r="28" spans="1:9" s="13" customFormat="1">
      <c r="A28" s="3"/>
      <c r="B28" s="3"/>
      <c r="C28" s="3"/>
      <c r="D28" s="3"/>
      <c r="E28" s="46"/>
      <c r="F28" s="3"/>
      <c r="G28" s="3"/>
      <c r="H28" s="3"/>
      <c r="I28" s="3"/>
    </row>
    <row r="29" spans="1:9" s="13" customFormat="1">
      <c r="A29" s="3"/>
      <c r="B29" s="3"/>
      <c r="C29" s="3"/>
      <c r="D29" s="3"/>
      <c r="E29" s="46"/>
      <c r="F29" s="3"/>
      <c r="G29" s="3"/>
      <c r="H29" s="3"/>
      <c r="I29" s="3"/>
    </row>
    <row r="30" spans="1:9" s="13" customFormat="1">
      <c r="A30" s="3"/>
      <c r="B30" s="3"/>
      <c r="C30" s="3"/>
      <c r="D30" s="3"/>
      <c r="E30" s="46"/>
      <c r="F30" s="3"/>
      <c r="G30" s="3"/>
      <c r="H30" s="3"/>
      <c r="I30" s="3"/>
    </row>
    <row r="31" spans="1:9" s="13" customFormat="1">
      <c r="A31" s="3"/>
      <c r="B31" s="3"/>
      <c r="C31" s="3"/>
      <c r="D31" s="3"/>
      <c r="E31" s="46"/>
      <c r="F31" s="3"/>
      <c r="G31" s="3"/>
      <c r="H31" s="3"/>
      <c r="I31" s="3"/>
    </row>
    <row r="32" spans="1:9" s="13" customFormat="1">
      <c r="A32" s="3"/>
      <c r="B32" s="3"/>
      <c r="C32" s="3"/>
      <c r="D32" s="3"/>
      <c r="E32" s="46"/>
      <c r="F32" s="3"/>
      <c r="G32" s="3"/>
      <c r="H32" s="3"/>
      <c r="I32" s="3"/>
    </row>
    <row r="33" spans="1:9" s="13" customFormat="1">
      <c r="A33" s="3"/>
      <c r="B33" s="3"/>
      <c r="C33" s="3"/>
      <c r="D33" s="3"/>
      <c r="E33" s="46"/>
      <c r="F33" s="3"/>
      <c r="G33" s="3"/>
      <c r="H33" s="3"/>
      <c r="I33" s="3"/>
    </row>
    <row r="34" spans="1:9" s="13" customFormat="1">
      <c r="A34" s="3"/>
      <c r="B34" s="3"/>
      <c r="C34" s="3"/>
      <c r="D34" s="3"/>
      <c r="E34" s="46"/>
      <c r="F34" s="3"/>
      <c r="G34" s="3"/>
      <c r="H34" s="3"/>
      <c r="I34" s="3"/>
    </row>
    <row r="35" spans="1:9" s="13" customFormat="1">
      <c r="A35" s="3"/>
      <c r="B35" s="3"/>
      <c r="C35" s="3"/>
      <c r="D35" s="3"/>
      <c r="E35" s="46"/>
      <c r="F35" s="3"/>
      <c r="G35" s="3"/>
      <c r="H35" s="3"/>
      <c r="I35" s="3"/>
    </row>
    <row r="36" spans="1:9" s="13" customFormat="1">
      <c r="A36" s="3"/>
      <c r="B36" s="3"/>
      <c r="C36" s="3"/>
      <c r="D36" s="3"/>
      <c r="E36" s="46"/>
      <c r="F36" s="3"/>
      <c r="G36" s="3"/>
      <c r="H36" s="3"/>
      <c r="I36" s="3"/>
    </row>
    <row r="37" spans="1:9" s="13" customFormat="1">
      <c r="A37" s="3"/>
      <c r="B37" s="3"/>
      <c r="C37" s="3"/>
      <c r="D37" s="3"/>
      <c r="E37" s="46"/>
      <c r="F37" s="3"/>
      <c r="G37" s="3"/>
      <c r="H37" s="3"/>
      <c r="I37" s="3"/>
    </row>
    <row r="38" spans="1:9" s="13" customFormat="1">
      <c r="A38" s="3"/>
      <c r="B38" s="3"/>
      <c r="C38" s="3"/>
      <c r="D38" s="3"/>
      <c r="E38" s="46"/>
      <c r="F38" s="3"/>
      <c r="G38" s="3"/>
      <c r="H38" s="3"/>
      <c r="I38" s="3"/>
    </row>
    <row r="39" spans="1:9" s="13" customFormat="1">
      <c r="A39" s="3"/>
      <c r="B39" s="3"/>
      <c r="C39" s="3"/>
      <c r="D39" s="3"/>
      <c r="E39" s="46"/>
      <c r="F39" s="3"/>
      <c r="G39" s="3"/>
      <c r="H39" s="3"/>
      <c r="I39" s="3"/>
    </row>
    <row r="40" spans="1:9" s="13" customFormat="1">
      <c r="A40" s="3"/>
      <c r="B40" s="3"/>
      <c r="C40" s="3"/>
      <c r="D40" s="3"/>
      <c r="E40" s="46"/>
      <c r="F40" s="3"/>
      <c r="G40" s="3"/>
      <c r="H40" s="3"/>
      <c r="I40" s="3"/>
    </row>
    <row r="41" spans="1:9" s="13" customFormat="1">
      <c r="A41" s="3"/>
      <c r="B41" s="3"/>
      <c r="C41" s="3"/>
      <c r="D41" s="3"/>
      <c r="E41" s="46"/>
      <c r="F41" s="3"/>
      <c r="G41" s="3"/>
      <c r="H41" s="3"/>
      <c r="I41" s="3"/>
    </row>
    <row r="42" spans="1:9" s="13" customFormat="1">
      <c r="A42" s="3"/>
      <c r="B42" s="3"/>
      <c r="C42" s="3"/>
      <c r="D42" s="3"/>
      <c r="E42" s="46"/>
      <c r="F42" s="3"/>
      <c r="G42" s="3"/>
      <c r="H42" s="3"/>
      <c r="I42" s="3"/>
    </row>
    <row r="43" spans="1:9" s="13" customFormat="1">
      <c r="A43" s="3"/>
      <c r="B43" s="3"/>
      <c r="C43" s="3"/>
      <c r="D43" s="3"/>
      <c r="E43" s="46"/>
      <c r="F43" s="3"/>
      <c r="G43" s="3"/>
      <c r="H43" s="3"/>
      <c r="I43" s="3"/>
    </row>
    <row r="44" spans="1:9" s="13" customFormat="1">
      <c r="A44" s="3"/>
      <c r="B44" s="3"/>
      <c r="C44" s="3"/>
      <c r="D44" s="3"/>
      <c r="E44" s="46"/>
      <c r="F44" s="3"/>
      <c r="G44" s="3"/>
      <c r="H44" s="3"/>
      <c r="I44" s="3"/>
    </row>
    <row r="45" spans="1:9" s="13" customFormat="1">
      <c r="A45" s="3"/>
      <c r="B45" s="3"/>
      <c r="C45" s="3"/>
      <c r="D45" s="3"/>
      <c r="E45" s="46"/>
      <c r="F45" s="3"/>
      <c r="G45" s="3"/>
      <c r="H45" s="3"/>
      <c r="I45" s="3"/>
    </row>
    <row r="46" spans="1:9" s="13" customFormat="1">
      <c r="A46" s="3"/>
      <c r="B46" s="3"/>
      <c r="C46" s="3"/>
      <c r="D46" s="3"/>
      <c r="E46" s="46"/>
      <c r="F46" s="3"/>
      <c r="G46" s="3"/>
      <c r="H46" s="3"/>
      <c r="I46" s="3"/>
    </row>
    <row r="47" spans="1:9" s="13" customFormat="1">
      <c r="A47" s="3"/>
      <c r="B47" s="3"/>
      <c r="C47" s="3"/>
      <c r="D47" s="3"/>
      <c r="E47" s="46"/>
      <c r="F47" s="3"/>
      <c r="G47" s="3"/>
      <c r="H47" s="3"/>
      <c r="I47" s="3"/>
    </row>
    <row r="48" spans="1:9" s="13" customFormat="1">
      <c r="A48" s="3"/>
      <c r="B48" s="3"/>
      <c r="C48" s="3"/>
      <c r="D48" s="3"/>
      <c r="E48" s="46"/>
      <c r="F48" s="3"/>
      <c r="G48" s="3"/>
      <c r="H48" s="3"/>
      <c r="I48" s="3"/>
    </row>
    <row r="49" spans="1:9" s="13" customFormat="1">
      <c r="A49" s="3"/>
      <c r="B49" s="3"/>
      <c r="C49" s="3"/>
      <c r="D49" s="3"/>
      <c r="E49" s="46"/>
      <c r="F49" s="3"/>
      <c r="G49" s="3"/>
      <c r="H49" s="3"/>
      <c r="I49" s="3"/>
    </row>
    <row r="50" spans="1:9" s="13" customFormat="1">
      <c r="A50" s="3"/>
      <c r="B50" s="3"/>
      <c r="C50" s="3"/>
      <c r="D50" s="3"/>
      <c r="E50" s="46"/>
      <c r="F50" s="3"/>
      <c r="G50" s="3"/>
      <c r="H50" s="3"/>
      <c r="I50" s="3"/>
    </row>
    <row r="51" spans="1:9" s="13" customFormat="1">
      <c r="A51" s="3"/>
      <c r="B51" s="3"/>
      <c r="C51" s="3"/>
      <c r="D51" s="3"/>
      <c r="E51" s="46"/>
      <c r="F51" s="3"/>
      <c r="G51" s="3"/>
      <c r="H51" s="3"/>
      <c r="I51" s="3"/>
    </row>
    <row r="52" spans="1:9" s="13" customFormat="1">
      <c r="A52" s="3"/>
      <c r="B52" s="3"/>
      <c r="C52" s="3"/>
      <c r="D52" s="3"/>
      <c r="E52" s="46"/>
      <c r="F52" s="3"/>
      <c r="G52" s="3"/>
      <c r="H52" s="3"/>
      <c r="I52" s="3"/>
    </row>
    <row r="53" spans="1:9" s="13" customFormat="1">
      <c r="A53" s="3"/>
      <c r="B53" s="3"/>
      <c r="C53" s="3"/>
      <c r="D53" s="3"/>
      <c r="E53" s="46"/>
      <c r="F53" s="3"/>
      <c r="G53" s="3"/>
      <c r="H53" s="3"/>
      <c r="I53" s="3"/>
    </row>
    <row r="54" spans="1:9" s="13" customFormat="1">
      <c r="A54" s="3"/>
      <c r="B54" s="3"/>
      <c r="C54" s="3"/>
      <c r="D54" s="3"/>
      <c r="E54" s="46"/>
      <c r="F54" s="3"/>
      <c r="G54" s="3"/>
      <c r="H54" s="3"/>
      <c r="I54" s="3"/>
    </row>
    <row r="55" spans="1:9" s="13" customFormat="1">
      <c r="A55" s="3"/>
      <c r="B55" s="3"/>
      <c r="C55" s="3"/>
      <c r="D55" s="3"/>
      <c r="E55" s="46"/>
      <c r="F55" s="3"/>
      <c r="G55" s="3"/>
      <c r="H55" s="3"/>
      <c r="I55" s="3"/>
    </row>
    <row r="56" spans="1:9" s="13" customFormat="1">
      <c r="A56" s="3"/>
      <c r="B56" s="3"/>
      <c r="C56" s="3"/>
      <c r="D56" s="3"/>
      <c r="E56" s="46"/>
      <c r="F56" s="3"/>
      <c r="G56" s="3"/>
      <c r="H56" s="3"/>
      <c r="I56" s="3"/>
    </row>
    <row r="57" spans="1:9" s="13" customFormat="1">
      <c r="A57" s="3"/>
      <c r="B57" s="3"/>
      <c r="C57" s="3"/>
      <c r="D57" s="3"/>
      <c r="E57" s="46"/>
      <c r="F57" s="3"/>
      <c r="G57" s="3"/>
      <c r="H57" s="3"/>
      <c r="I57" s="3"/>
    </row>
    <row r="58" spans="1:9" s="13" customFormat="1">
      <c r="A58" s="3"/>
      <c r="B58" s="3"/>
      <c r="C58" s="3"/>
      <c r="D58" s="3"/>
      <c r="E58" s="46"/>
      <c r="F58" s="3"/>
      <c r="G58" s="3"/>
      <c r="H58" s="3"/>
      <c r="I58" s="3"/>
    </row>
    <row r="59" spans="1:9" s="13" customFormat="1">
      <c r="A59" s="3"/>
      <c r="B59" s="3"/>
      <c r="C59" s="3"/>
      <c r="D59" s="3"/>
      <c r="E59" s="46"/>
      <c r="F59" s="3"/>
      <c r="G59" s="3"/>
      <c r="H59" s="3"/>
      <c r="I59" s="3"/>
    </row>
    <row r="60" spans="1:9" s="13" customFormat="1">
      <c r="A60" s="3"/>
      <c r="B60" s="3"/>
      <c r="C60" s="3"/>
      <c r="D60" s="3"/>
      <c r="E60" s="46"/>
      <c r="F60" s="3"/>
      <c r="G60" s="3"/>
      <c r="H60" s="3"/>
      <c r="I60" s="3"/>
    </row>
    <row r="61" spans="1:9" s="13" customFormat="1">
      <c r="A61" s="3"/>
      <c r="B61" s="3"/>
      <c r="C61" s="3"/>
      <c r="D61" s="3"/>
      <c r="E61" s="46"/>
      <c r="F61" s="3"/>
      <c r="G61" s="3"/>
      <c r="H61" s="3"/>
      <c r="I61" s="3"/>
    </row>
    <row r="62" spans="1:9" s="13" customFormat="1">
      <c r="A62" s="3"/>
      <c r="B62" s="3"/>
      <c r="C62" s="3"/>
      <c r="D62" s="3"/>
      <c r="E62" s="46"/>
      <c r="F62" s="3"/>
      <c r="G62" s="3"/>
      <c r="H62" s="3"/>
      <c r="I62" s="3"/>
    </row>
    <row r="63" spans="1:9" s="13" customFormat="1">
      <c r="A63" s="3"/>
      <c r="B63" s="3"/>
      <c r="C63" s="3"/>
      <c r="D63" s="3"/>
      <c r="E63" s="46"/>
      <c r="F63" s="3"/>
      <c r="G63" s="3"/>
      <c r="H63" s="3"/>
      <c r="I63" s="3"/>
    </row>
    <row r="64" spans="1:9" s="13" customFormat="1">
      <c r="A64" s="3"/>
      <c r="B64" s="3"/>
      <c r="C64" s="3"/>
      <c r="D64" s="3"/>
      <c r="E64" s="46"/>
      <c r="F64" s="3"/>
      <c r="G64" s="3"/>
      <c r="H64" s="3"/>
      <c r="I64" s="3"/>
    </row>
    <row r="65" spans="1:9" s="13" customFormat="1">
      <c r="A65" s="3"/>
      <c r="B65" s="3"/>
      <c r="C65" s="3"/>
      <c r="D65" s="3"/>
      <c r="E65" s="46"/>
      <c r="F65" s="3"/>
      <c r="G65" s="3"/>
      <c r="H65" s="3"/>
      <c r="I65" s="3"/>
    </row>
    <row r="66" spans="1:9" s="13" customFormat="1">
      <c r="A66" s="3"/>
      <c r="B66" s="3"/>
      <c r="C66" s="3"/>
      <c r="D66" s="3"/>
      <c r="E66" s="46"/>
      <c r="F66" s="3"/>
      <c r="G66" s="3"/>
      <c r="H66" s="3"/>
      <c r="I66" s="3"/>
    </row>
    <row r="67" spans="1:9" s="13" customFormat="1">
      <c r="A67" s="3"/>
      <c r="B67" s="3"/>
      <c r="C67" s="3"/>
      <c r="D67" s="3"/>
      <c r="E67" s="46"/>
      <c r="F67" s="3"/>
      <c r="G67" s="3"/>
      <c r="H67" s="3"/>
      <c r="I67" s="3"/>
    </row>
    <row r="68" spans="1:9" s="13" customFormat="1">
      <c r="A68" s="3"/>
      <c r="B68" s="3"/>
      <c r="C68" s="3"/>
      <c r="D68" s="3"/>
      <c r="E68" s="46"/>
      <c r="F68" s="3"/>
      <c r="G68" s="3"/>
      <c r="H68" s="3"/>
      <c r="I68" s="3"/>
    </row>
    <row r="69" spans="1:9" s="13" customFormat="1">
      <c r="A69" s="3"/>
      <c r="B69" s="3"/>
      <c r="C69" s="3"/>
      <c r="D69" s="3"/>
      <c r="E69" s="46"/>
      <c r="F69" s="3"/>
      <c r="G69" s="3"/>
      <c r="H69" s="3"/>
      <c r="I69" s="3"/>
    </row>
    <row r="70" spans="1:9" s="13" customFormat="1">
      <c r="A70" s="3"/>
      <c r="B70" s="3"/>
      <c r="C70" s="3"/>
      <c r="D70" s="3"/>
      <c r="E70" s="46"/>
      <c r="F70" s="3"/>
      <c r="G70" s="3"/>
      <c r="H70" s="3"/>
      <c r="I70" s="3"/>
    </row>
    <row r="71" spans="1:9" s="13" customFormat="1">
      <c r="A71" s="3"/>
      <c r="B71" s="3"/>
      <c r="C71" s="3"/>
      <c r="D71" s="3"/>
      <c r="E71" s="46"/>
      <c r="F71" s="3"/>
      <c r="G71" s="3"/>
      <c r="H71" s="3"/>
      <c r="I71" s="3"/>
    </row>
    <row r="72" spans="1:9" s="13" customFormat="1">
      <c r="A72" s="3"/>
      <c r="B72" s="3"/>
      <c r="C72" s="3"/>
      <c r="D72" s="3"/>
      <c r="E72" s="46"/>
      <c r="F72" s="3"/>
      <c r="G72" s="3"/>
      <c r="H72" s="3"/>
      <c r="I72" s="3"/>
    </row>
    <row r="73" spans="1:9" s="13" customFormat="1">
      <c r="A73" s="3"/>
      <c r="B73" s="3"/>
      <c r="C73" s="3"/>
      <c r="D73" s="3"/>
      <c r="E73" s="46"/>
      <c r="F73" s="3"/>
      <c r="G73" s="3"/>
      <c r="H73" s="3"/>
      <c r="I73" s="3"/>
    </row>
    <row r="74" spans="1:9" s="13" customFormat="1">
      <c r="A74" s="3"/>
      <c r="B74" s="3"/>
      <c r="C74" s="3"/>
      <c r="D74" s="3"/>
      <c r="E74" s="46"/>
      <c r="F74" s="3"/>
      <c r="G74" s="3"/>
      <c r="H74" s="3"/>
      <c r="I74" s="3"/>
    </row>
    <row r="75" spans="1:9" s="13" customFormat="1">
      <c r="A75" s="3"/>
      <c r="B75" s="3"/>
      <c r="C75" s="3"/>
      <c r="D75" s="3"/>
      <c r="E75" s="46"/>
      <c r="F75" s="3"/>
      <c r="G75" s="3"/>
      <c r="H75" s="3"/>
      <c r="I75" s="3"/>
    </row>
    <row r="76" spans="1:9" s="13" customFormat="1">
      <c r="A76" s="3"/>
      <c r="B76" s="3"/>
      <c r="C76" s="3"/>
      <c r="D76" s="3"/>
      <c r="E76" s="46"/>
      <c r="F76" s="3"/>
      <c r="G76" s="3"/>
      <c r="H76" s="3"/>
      <c r="I76" s="3"/>
    </row>
    <row r="77" spans="1:9" s="13" customFormat="1">
      <c r="A77" s="3"/>
      <c r="B77" s="3"/>
      <c r="C77" s="3"/>
      <c r="D77" s="3"/>
      <c r="E77" s="46"/>
      <c r="F77" s="3"/>
      <c r="G77" s="3"/>
      <c r="H77" s="3"/>
      <c r="I77" s="3"/>
    </row>
    <row r="78" spans="1:9" s="13" customFormat="1">
      <c r="A78" s="3"/>
      <c r="B78" s="3"/>
      <c r="C78" s="3"/>
      <c r="D78" s="3"/>
      <c r="E78" s="46"/>
      <c r="F78" s="3"/>
      <c r="G78" s="3"/>
      <c r="H78" s="3"/>
      <c r="I78" s="3"/>
    </row>
    <row r="79" spans="1:9" s="13" customFormat="1">
      <c r="A79" s="3"/>
      <c r="B79" s="3"/>
      <c r="C79" s="3"/>
      <c r="D79" s="3"/>
      <c r="E79" s="46"/>
      <c r="F79" s="3"/>
      <c r="G79" s="3"/>
      <c r="H79" s="3"/>
      <c r="I79" s="3"/>
    </row>
    <row r="80" spans="1:9" s="13" customFormat="1">
      <c r="A80" s="3"/>
      <c r="B80" s="3"/>
      <c r="C80" s="3"/>
      <c r="D80" s="3"/>
      <c r="E80" s="46"/>
      <c r="F80" s="3"/>
      <c r="G80" s="3"/>
      <c r="H80" s="3"/>
      <c r="I80" s="3"/>
    </row>
    <row r="81" spans="1:9" s="13" customFormat="1">
      <c r="A81" s="3"/>
      <c r="B81" s="3"/>
      <c r="C81" s="3"/>
      <c r="D81" s="3"/>
      <c r="E81" s="46"/>
      <c r="F81" s="3"/>
      <c r="G81" s="3"/>
      <c r="H81" s="3"/>
      <c r="I81" s="3"/>
    </row>
    <row r="82" spans="1:9" s="13" customFormat="1">
      <c r="A82" s="3"/>
      <c r="B82" s="3"/>
      <c r="C82" s="3"/>
      <c r="D82" s="3"/>
      <c r="E82" s="46"/>
      <c r="F82" s="3"/>
      <c r="G82" s="3"/>
      <c r="H82" s="3"/>
      <c r="I82" s="3"/>
    </row>
    <row r="83" spans="1:9" s="13" customFormat="1">
      <c r="A83" s="3"/>
      <c r="B83" s="3"/>
      <c r="C83" s="3"/>
      <c r="D83" s="3"/>
      <c r="E83" s="46"/>
      <c r="F83" s="3"/>
      <c r="G83" s="3"/>
      <c r="H83" s="3"/>
      <c r="I83" s="3"/>
    </row>
    <row r="84" spans="1:9" s="13" customFormat="1">
      <c r="A84" s="3"/>
      <c r="B84" s="3"/>
      <c r="C84" s="3"/>
      <c r="D84" s="3"/>
      <c r="E84" s="46"/>
      <c r="F84" s="3"/>
      <c r="G84" s="3"/>
      <c r="H84" s="3"/>
      <c r="I84" s="3"/>
    </row>
    <row r="85" spans="1:9" s="13" customFormat="1">
      <c r="A85" s="3"/>
      <c r="B85" s="3"/>
      <c r="C85" s="3"/>
      <c r="D85" s="3"/>
      <c r="E85" s="46"/>
      <c r="F85" s="3"/>
      <c r="G85" s="3"/>
      <c r="H85" s="3"/>
      <c r="I85" s="3"/>
    </row>
    <row r="86" spans="1:9" s="13" customFormat="1">
      <c r="A86" s="3"/>
      <c r="B86" s="3"/>
      <c r="C86" s="3"/>
      <c r="D86" s="3"/>
      <c r="E86" s="46"/>
      <c r="F86" s="3"/>
      <c r="G86" s="3"/>
      <c r="H86" s="3"/>
      <c r="I86" s="3"/>
    </row>
    <row r="87" spans="1:9" s="13" customFormat="1">
      <c r="A87" s="3"/>
      <c r="B87" s="3"/>
      <c r="C87" s="3"/>
      <c r="D87" s="3"/>
      <c r="E87" s="46"/>
      <c r="F87" s="3"/>
      <c r="G87" s="3"/>
      <c r="H87" s="3"/>
      <c r="I87" s="3"/>
    </row>
    <row r="88" spans="1:9" s="13" customFormat="1">
      <c r="A88" s="3"/>
      <c r="B88" s="3"/>
      <c r="C88" s="3"/>
      <c r="D88" s="3"/>
      <c r="E88" s="46"/>
      <c r="F88" s="3"/>
      <c r="G88" s="3"/>
      <c r="H88" s="3"/>
      <c r="I88" s="3"/>
    </row>
    <row r="89" spans="1:9" s="13" customFormat="1">
      <c r="A89" s="3"/>
      <c r="B89" s="3"/>
      <c r="C89" s="3"/>
      <c r="D89" s="3"/>
      <c r="E89" s="46"/>
      <c r="F89" s="3"/>
      <c r="G89" s="3"/>
      <c r="H89" s="3"/>
      <c r="I89" s="3"/>
    </row>
    <row r="90" spans="1:9" s="13" customFormat="1">
      <c r="A90" s="3"/>
      <c r="B90" s="3"/>
      <c r="C90" s="3"/>
      <c r="D90" s="3"/>
      <c r="E90" s="46"/>
      <c r="F90" s="3"/>
      <c r="G90" s="3"/>
      <c r="H90" s="3"/>
      <c r="I90" s="3"/>
    </row>
    <row r="91" spans="1:9" s="13" customFormat="1">
      <c r="A91" s="3"/>
      <c r="B91" s="3"/>
      <c r="C91" s="3"/>
      <c r="D91" s="3"/>
      <c r="E91" s="46"/>
      <c r="F91" s="3"/>
      <c r="G91" s="3"/>
      <c r="H91" s="3"/>
      <c r="I91" s="3"/>
    </row>
    <row r="92" spans="1:9" s="13" customFormat="1">
      <c r="A92" s="3"/>
      <c r="B92" s="3"/>
      <c r="C92" s="3"/>
      <c r="D92" s="3"/>
      <c r="E92" s="46"/>
      <c r="F92" s="3"/>
      <c r="G92" s="3"/>
      <c r="H92" s="3"/>
      <c r="I92" s="3"/>
    </row>
    <row r="93" spans="1:9" s="13" customFormat="1">
      <c r="A93" s="3"/>
      <c r="B93" s="3"/>
      <c r="C93" s="3"/>
      <c r="D93" s="3"/>
      <c r="E93" s="46"/>
      <c r="F93" s="3"/>
      <c r="G93" s="3"/>
      <c r="H93" s="3"/>
      <c r="I93" s="3"/>
    </row>
    <row r="94" spans="1:9" s="13" customFormat="1">
      <c r="A94" s="3"/>
      <c r="B94" s="3"/>
      <c r="C94" s="3"/>
      <c r="D94" s="3"/>
      <c r="E94" s="46"/>
      <c r="F94" s="3"/>
      <c r="G94" s="3"/>
      <c r="H94" s="3"/>
      <c r="I94" s="3"/>
    </row>
    <row r="95" spans="1:9" s="13" customFormat="1">
      <c r="A95" s="3"/>
      <c r="B95" s="3"/>
      <c r="C95" s="3"/>
      <c r="D95" s="3"/>
      <c r="E95" s="46"/>
      <c r="F95" s="3"/>
      <c r="G95" s="3"/>
      <c r="H95" s="3"/>
      <c r="I95" s="3"/>
    </row>
    <row r="96" spans="1:9" s="13" customFormat="1">
      <c r="A96" s="3"/>
      <c r="B96" s="3"/>
      <c r="C96" s="3"/>
      <c r="D96" s="3"/>
      <c r="E96" s="46"/>
      <c r="F96" s="3"/>
      <c r="G96" s="3"/>
      <c r="H96" s="3"/>
      <c r="I96" s="3"/>
    </row>
    <row r="97" spans="1:9" s="13" customFormat="1">
      <c r="A97" s="3"/>
      <c r="B97" s="3"/>
      <c r="C97" s="3"/>
      <c r="D97" s="3"/>
      <c r="E97" s="46"/>
      <c r="F97" s="3"/>
      <c r="G97" s="3"/>
      <c r="H97" s="3"/>
      <c r="I97" s="3"/>
    </row>
    <row r="98" spans="1:9" s="13" customFormat="1">
      <c r="A98" s="3"/>
      <c r="B98" s="3"/>
      <c r="C98" s="3"/>
      <c r="D98" s="3"/>
      <c r="E98" s="46"/>
      <c r="F98" s="3"/>
      <c r="G98" s="3"/>
      <c r="H98" s="3"/>
      <c r="I98" s="3"/>
    </row>
    <row r="99" spans="1:9" s="13" customFormat="1">
      <c r="A99" s="3"/>
      <c r="B99" s="3"/>
      <c r="C99" s="3"/>
      <c r="D99" s="3"/>
      <c r="E99" s="46"/>
      <c r="F99" s="3"/>
      <c r="G99" s="3"/>
      <c r="H99" s="3"/>
      <c r="I99" s="3"/>
    </row>
    <row r="100" spans="1:9" s="13" customFormat="1">
      <c r="A100" s="3"/>
      <c r="B100" s="3"/>
      <c r="C100" s="3"/>
      <c r="D100" s="3"/>
      <c r="E100" s="46"/>
      <c r="F100" s="3"/>
      <c r="G100" s="3"/>
      <c r="H100" s="3"/>
      <c r="I100" s="3"/>
    </row>
    <row r="101" spans="1:9" s="13" customFormat="1">
      <c r="A101" s="3"/>
      <c r="B101" s="3"/>
      <c r="C101" s="3"/>
      <c r="D101" s="3"/>
      <c r="E101" s="46"/>
      <c r="F101" s="3"/>
      <c r="G101" s="3"/>
      <c r="H101" s="3"/>
      <c r="I101" s="3"/>
    </row>
    <row r="102" spans="1:9" s="13" customFormat="1">
      <c r="A102" s="3"/>
      <c r="B102" s="3"/>
      <c r="C102" s="3"/>
      <c r="D102" s="3"/>
      <c r="E102" s="46"/>
      <c r="F102" s="3"/>
      <c r="G102" s="3"/>
      <c r="H102" s="3"/>
      <c r="I102" s="3"/>
    </row>
    <row r="103" spans="1:9" s="13" customFormat="1">
      <c r="A103" s="3"/>
      <c r="B103" s="3"/>
      <c r="C103" s="3"/>
      <c r="D103" s="3"/>
      <c r="E103" s="46"/>
      <c r="F103" s="3"/>
      <c r="G103" s="3"/>
      <c r="H103" s="3"/>
      <c r="I103" s="3"/>
    </row>
    <row r="104" spans="1:9" s="13" customFormat="1">
      <c r="A104" s="3"/>
      <c r="B104" s="3"/>
      <c r="C104" s="3"/>
      <c r="D104" s="3"/>
      <c r="E104" s="46"/>
      <c r="F104" s="3"/>
      <c r="G104" s="3"/>
      <c r="H104" s="3"/>
      <c r="I104" s="3"/>
    </row>
    <row r="105" spans="1:9" s="13" customFormat="1">
      <c r="A105" s="3"/>
      <c r="B105" s="3"/>
      <c r="C105" s="3"/>
      <c r="D105" s="3"/>
      <c r="E105" s="46"/>
      <c r="F105" s="3"/>
      <c r="G105" s="3"/>
      <c r="H105" s="3"/>
      <c r="I105" s="3"/>
    </row>
    <row r="106" spans="1:9" s="13" customFormat="1">
      <c r="A106" s="3"/>
      <c r="B106" s="3"/>
      <c r="C106" s="3"/>
      <c r="D106" s="3"/>
      <c r="E106" s="46"/>
      <c r="F106" s="3"/>
      <c r="G106" s="3"/>
      <c r="H106" s="3"/>
      <c r="I106" s="3"/>
    </row>
    <row r="107" spans="1:9" s="13" customFormat="1">
      <c r="A107" s="3"/>
      <c r="B107" s="3"/>
      <c r="C107" s="3"/>
      <c r="D107" s="3"/>
      <c r="E107" s="46"/>
      <c r="F107" s="3"/>
      <c r="G107" s="3"/>
      <c r="H107" s="3"/>
      <c r="I107" s="3"/>
    </row>
    <row r="108" spans="1:9" s="13" customFormat="1">
      <c r="A108" s="3"/>
      <c r="B108" s="3"/>
      <c r="C108" s="3"/>
      <c r="D108" s="3"/>
      <c r="E108" s="46"/>
      <c r="F108" s="3"/>
      <c r="G108" s="3"/>
      <c r="H108" s="3"/>
      <c r="I108" s="3"/>
    </row>
    <row r="109" spans="1:9" s="13" customFormat="1">
      <c r="A109" s="3"/>
      <c r="B109" s="3"/>
      <c r="C109" s="3"/>
      <c r="D109" s="3"/>
      <c r="E109" s="46"/>
      <c r="F109" s="3"/>
      <c r="G109" s="3"/>
      <c r="H109" s="3"/>
      <c r="I109" s="3"/>
    </row>
    <row r="110" spans="1:9" s="13" customFormat="1">
      <c r="A110" s="3"/>
      <c r="B110" s="3"/>
      <c r="C110" s="3"/>
      <c r="D110" s="3"/>
      <c r="E110" s="46"/>
      <c r="F110" s="3"/>
      <c r="G110" s="3"/>
      <c r="H110" s="3"/>
      <c r="I110" s="3"/>
    </row>
    <row r="111" spans="1:9" s="13" customFormat="1">
      <c r="A111" s="3"/>
      <c r="B111" s="3"/>
      <c r="C111" s="3"/>
      <c r="D111" s="3"/>
      <c r="E111" s="46"/>
      <c r="F111" s="3"/>
      <c r="G111" s="3"/>
      <c r="H111" s="3"/>
      <c r="I111" s="3"/>
    </row>
    <row r="112" spans="1:9" s="13" customFormat="1">
      <c r="A112" s="3"/>
      <c r="B112" s="3"/>
      <c r="C112" s="3"/>
      <c r="D112" s="3"/>
      <c r="E112" s="46"/>
      <c r="F112" s="3"/>
      <c r="G112" s="3"/>
      <c r="H112" s="3"/>
      <c r="I112" s="3"/>
    </row>
    <row r="113" spans="1:9" s="13" customFormat="1">
      <c r="A113" s="3"/>
      <c r="B113" s="3"/>
      <c r="C113" s="3"/>
      <c r="D113" s="3"/>
      <c r="E113" s="46"/>
      <c r="F113" s="3"/>
      <c r="G113" s="3"/>
      <c r="H113" s="3"/>
      <c r="I113" s="3"/>
    </row>
    <row r="114" spans="1:9" s="13" customFormat="1">
      <c r="A114" s="3"/>
      <c r="B114" s="3"/>
      <c r="C114" s="3"/>
      <c r="D114" s="3"/>
      <c r="E114" s="46"/>
      <c r="F114" s="3"/>
      <c r="G114" s="3"/>
      <c r="H114" s="3"/>
      <c r="I114" s="3"/>
    </row>
    <row r="115" spans="1:9" s="13" customFormat="1">
      <c r="A115" s="3"/>
      <c r="B115" s="3"/>
      <c r="C115" s="3"/>
      <c r="D115" s="3"/>
      <c r="E115" s="46"/>
      <c r="F115" s="3"/>
      <c r="G115" s="3"/>
      <c r="H115" s="3"/>
      <c r="I115" s="3"/>
    </row>
    <row r="116" spans="1:9" s="13" customFormat="1">
      <c r="A116" s="3"/>
      <c r="B116" s="3"/>
      <c r="C116" s="3"/>
      <c r="D116" s="3"/>
      <c r="E116" s="46"/>
      <c r="F116" s="3"/>
      <c r="G116" s="3"/>
      <c r="H116" s="3"/>
      <c r="I116" s="3"/>
    </row>
    <row r="117" spans="1:9" s="13" customFormat="1">
      <c r="A117" s="3"/>
      <c r="B117" s="3"/>
      <c r="C117" s="3"/>
      <c r="D117" s="3"/>
      <c r="E117" s="46"/>
      <c r="F117" s="3"/>
      <c r="G117" s="3"/>
      <c r="H117" s="3"/>
      <c r="I117" s="3"/>
    </row>
    <row r="118" spans="1:9" s="13" customFormat="1">
      <c r="A118" s="3"/>
      <c r="B118" s="3"/>
      <c r="C118" s="3"/>
      <c r="D118" s="3"/>
      <c r="E118" s="46"/>
      <c r="F118" s="3"/>
      <c r="G118" s="3"/>
      <c r="H118" s="3"/>
      <c r="I118" s="3"/>
    </row>
    <row r="119" spans="1:9" s="13" customFormat="1">
      <c r="A119" s="3"/>
      <c r="B119" s="3"/>
      <c r="C119" s="3"/>
      <c r="D119" s="3"/>
      <c r="E119" s="46"/>
      <c r="F119" s="3"/>
      <c r="G119" s="3"/>
      <c r="H119" s="3"/>
      <c r="I119" s="3"/>
    </row>
    <row r="120" spans="1:9" s="13" customFormat="1">
      <c r="A120" s="3"/>
      <c r="B120" s="3"/>
      <c r="C120" s="3"/>
      <c r="D120" s="3"/>
      <c r="E120" s="46"/>
      <c r="F120" s="3"/>
      <c r="G120" s="3"/>
      <c r="H120" s="3"/>
      <c r="I120" s="3"/>
    </row>
  </sheetData>
  <mergeCells count="2">
    <mergeCell ref="A2:D2"/>
    <mergeCell ref="B24:D24"/>
  </mergeCells>
  <pageMargins left="0.87" right="0.14000000000000001" top="0.43" bottom="0.09" header="0.16" footer="0.09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12</vt:i4>
      </vt:variant>
    </vt:vector>
  </HeadingPairs>
  <TitlesOfParts>
    <vt:vector size="40" baseType="lpstr">
      <vt:lpstr>SCIC-Nam 2014</vt:lpstr>
      <vt:lpstr>DMC-Nam 2014</vt:lpstr>
      <vt:lpstr>SCIC T1.14</vt:lpstr>
      <vt:lpstr>SCIC T2.14 </vt:lpstr>
      <vt:lpstr>SCIC T3.14</vt:lpstr>
      <vt:lpstr>SCIC T4.14</vt:lpstr>
      <vt:lpstr>SCIC T5.14</vt:lpstr>
      <vt:lpstr>SCIC T6.14</vt:lpstr>
      <vt:lpstr>SCIC T7.14</vt:lpstr>
      <vt:lpstr>SCIC T8.14</vt:lpstr>
      <vt:lpstr>SCIC T9.14</vt:lpstr>
      <vt:lpstr>SCIC T10.14</vt:lpstr>
      <vt:lpstr>SCIC T11.14</vt:lpstr>
      <vt:lpstr>SCIC T12.14</vt:lpstr>
      <vt:lpstr>DMC T1.14</vt:lpstr>
      <vt:lpstr>DMC T2.14</vt:lpstr>
      <vt:lpstr>DMC T3.14</vt:lpstr>
      <vt:lpstr>DMC T4.14</vt:lpstr>
      <vt:lpstr>DMC T5.14</vt:lpstr>
      <vt:lpstr>DMC T6.14</vt:lpstr>
      <vt:lpstr>DMC T7.14</vt:lpstr>
      <vt:lpstr>DMC T8.14</vt:lpstr>
      <vt:lpstr>DMC T9.14</vt:lpstr>
      <vt:lpstr>DMC T10.14</vt:lpstr>
      <vt:lpstr>DMC T11.14</vt:lpstr>
      <vt:lpstr>DMC T12.14</vt:lpstr>
      <vt:lpstr>Sheet6 (2)</vt:lpstr>
      <vt:lpstr>Sheet6</vt:lpstr>
      <vt:lpstr>'DMC T1.14'!Print_Titles</vt:lpstr>
      <vt:lpstr>'DMC T10.14'!Print_Titles</vt:lpstr>
      <vt:lpstr>'DMC T11.14'!Print_Titles</vt:lpstr>
      <vt:lpstr>'DMC T12.14'!Print_Titles</vt:lpstr>
      <vt:lpstr>'DMC T2.14'!Print_Titles</vt:lpstr>
      <vt:lpstr>'DMC T3.14'!Print_Titles</vt:lpstr>
      <vt:lpstr>'DMC T4.14'!Print_Titles</vt:lpstr>
      <vt:lpstr>'DMC T5.14'!Print_Titles</vt:lpstr>
      <vt:lpstr>'DMC T6.14'!Print_Titles</vt:lpstr>
      <vt:lpstr>'DMC T7.14'!Print_Titles</vt:lpstr>
      <vt:lpstr>'DMC T8.14'!Print_Titles</vt:lpstr>
      <vt:lpstr>'DMC T9.14'!Print_Titles</vt:lpstr>
    </vt:vector>
  </TitlesOfParts>
  <Company>NHG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iCARE</dc:creator>
  <cp:lastModifiedBy>tran ha</cp:lastModifiedBy>
  <cp:lastPrinted>2015-02-11T03:56:15Z</cp:lastPrinted>
  <dcterms:created xsi:type="dcterms:W3CDTF">2012-10-19T03:38:33Z</dcterms:created>
  <dcterms:modified xsi:type="dcterms:W3CDTF">2015-02-11T05:12:26Z</dcterms:modified>
</cp:coreProperties>
</file>